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Owner\Desktop\OMR Central\"/>
    </mc:Choice>
  </mc:AlternateContent>
  <xr:revisionPtr revIDLastSave="0" documentId="8_{6992616A-EC0A-407B-AC10-AA1982E6E66F}" xr6:coauthVersionLast="47" xr6:coauthVersionMax="47" xr10:uidLastSave="{00000000-0000-0000-0000-000000000000}"/>
  <workbookProtection workbookAlgorithmName="SHA-512" workbookHashValue="NdnpwVISAi/uoDmcBtae6P5CuFXsLeHjxpyZEKNMfJsJG2ZWJW43pIy4JY5EOGhHrqVNz+/pipKYnwpTfvBYug==" workbookSaltValue="dmQiTLqxf9zdMYAnIvM9JQ==" workbookSpinCount="100000" lockStructure="1"/>
  <bookViews>
    <workbookView xWindow="-108" yWindow="-108" windowWidth="23256" windowHeight="12576" xr2:uid="{24956631-3E05-41FE-931B-852FCAC019B9}"/>
  </bookViews>
  <sheets>
    <sheet name="OMR" sheetId="1" r:id="rId1"/>
    <sheet name="Look Ups" sheetId="2" r:id="rId2"/>
  </sheets>
  <definedNames>
    <definedName name="_LG1">OMR!$BG$2:$BG$335</definedName>
    <definedName name="_LG2">OMR!$BH$2:$BH$335</definedName>
    <definedName name="_ML1">OMR!$AL$2:$AL$335</definedName>
    <definedName name="_ML2">OMR!$AM$2:$AM$335</definedName>
    <definedName name="_SL1">OMR!$CE$2:$CE$335</definedName>
    <definedName name="_SL2">OMR!$CF$2:$CF$335</definedName>
    <definedName name="AD">OMR!$CC$2:$CC$335</definedName>
    <definedName name="AG">OMR!$BM$2:$BM$335</definedName>
    <definedName name="AM">OMR!$AZ$2:$AZ$335</definedName>
    <definedName name="AOC">OMR!$U$2:$U$335</definedName>
    <definedName name="AS">OMR!$BU$2:$BU$335</definedName>
    <definedName name="BATT">OMR!$AV$2:$AV$335</definedName>
    <definedName name="CWA">OMR!$AD$2:$AD$335</definedName>
    <definedName name="DLF">OMR!$AK$2:$AK$335</definedName>
    <definedName name="E">OMR!$AS$2:$AS$335</definedName>
    <definedName name="EFD">OMR!$DH$2:$DH$335</definedName>
    <definedName name="EFG">OMR!$DC$2:$DC$335</definedName>
    <definedName name="EFM">OMR!$DA$2:$DA$335</definedName>
    <definedName name="EFS">OMR!$DF$2:$DF$335</definedName>
    <definedName name="ELSC">OMR!$CS$2:$CS$335</definedName>
    <definedName name="ER">OMR!$AT$2:$AT$335</definedName>
    <definedName name="EUSC">OMR!$CY$2:$CY$335</definedName>
    <definedName name="FD">OMR!$BX$2:$BX$335</definedName>
    <definedName name="FG">OMR!$BE$2:$BE$335</definedName>
    <definedName name="FLSCR">OMR!$DJ$2:$DJ$335</definedName>
    <definedName name="FLSPI">OMR!$DK$2:$DK$335</definedName>
    <definedName name="FLUSCR">OMR!#REF!</definedName>
    <definedName name="FOC">OMR!$T$2:$T$335</definedName>
    <definedName name="FRD">OMR!$BY$2:$BY$335</definedName>
    <definedName name="FRG">OMR!$BF$2:$BF$335</definedName>
    <definedName name="FRS">OMR!$BQ$2:$BQ$335</definedName>
    <definedName name="FS">OMR!$BP$2:$BP$335</definedName>
    <definedName name="HB">OMR!$AO$2:$AO$335</definedName>
    <definedName name="HG">OMR!$BI$2:$BI$335</definedName>
    <definedName name="LCHD">OMR!$BZ$2:$BZ$335</definedName>
    <definedName name="LF">OMR!$W$2:$W$335</definedName>
    <definedName name="LL">OMR!$BC$2:$BC$335</definedName>
    <definedName name="LLD">OMR!$BV$2:$BV$335</definedName>
    <definedName name="LLRD">OMR!$CB$2:$CB$335</definedName>
    <definedName name="LLRG">OMR!$BK$2:$BK$335</definedName>
    <definedName name="LLRS">OMR!$BT$2:$BT$335</definedName>
    <definedName name="LLS">OMR!$BN$2:$BN$335</definedName>
    <definedName name="LOA">OMR!$Q$2:$Q$335</definedName>
    <definedName name="LOAA">OMR!$R$2:$R$335</definedName>
    <definedName name="LPD">OMR!$BW$2:$BW$335</definedName>
    <definedName name="LPG">OMR!$BD$2:$BD$335</definedName>
    <definedName name="LPM">OMR!$AN$2:$AN$335</definedName>
    <definedName name="LPS">OMR!$BO$2:$BO$335</definedName>
    <definedName name="LRD">OMR!$CA$2:$CA$335</definedName>
    <definedName name="LRG">OMR!$BJ$2:$BJ$335</definedName>
    <definedName name="LRS">OMR!$BS$2:$BS$335</definedName>
    <definedName name="LS">OMR!$BR$2:$BR$335</definedName>
    <definedName name="MAM">OMR!$AY$2:$AY$335</definedName>
    <definedName name="MC">OMR!$AU$2:$AU$335</definedName>
    <definedName name="MSASC">OMR!$CQ$2:$CQ$335</definedName>
    <definedName name="MSASP">OMR!$CJ$2:$CJ$335</definedName>
    <definedName name="MSAUSC">OMR!$CZ$2:$CZ$335</definedName>
    <definedName name="NC">OMR!$AB$2:$AB$335</definedName>
    <definedName name="P">OMR!$AQ$2:$AQ$335</definedName>
    <definedName name="PR">OMR!$AR$2:$AR$335</definedName>
    <definedName name="PSCR">OMR!$CO$2:$CO$335</definedName>
    <definedName name="PUSCR">OMR!$CX$2:$CX$335</definedName>
    <definedName name="RAMG">OMR!$DM$2:$DM$335</definedName>
    <definedName name="RASCO">OMR!$DO$2:$DO$335</definedName>
    <definedName name="RASCR">OMR!$DQ$2:$DQ$335</definedName>
    <definedName name="RASPO">OMR!$DN$2:$DN$335</definedName>
    <definedName name="RASPSC">OMR!$DP$2:$DP$335</definedName>
    <definedName name="RAUSC">OMR!$DR$2:$DR$335</definedName>
    <definedName name="RDM">OMR!$AP$2:$AP$335</definedName>
    <definedName name="RL">OMR!$V$2:$V$335</definedName>
    <definedName name="RSA">OMR!$DT$2:$DT$335</definedName>
    <definedName name="RSA2M">OMR!$BB$2:$BB$335</definedName>
    <definedName name="RSAD">OMR!$DI$2:$DI$335</definedName>
    <definedName name="RSAG">OMR!$DD$2:$DD$335</definedName>
    <definedName name="RSAM">OMR!$DB$2:$DB$335</definedName>
    <definedName name="RSAMG">OMR!$DM$2:$DM$335</definedName>
    <definedName name="RSAMZ">OMR!$BA$2:$BA$335</definedName>
    <definedName name="RSAST">OMR!$DG$2:$DG$335</definedName>
    <definedName name="RW">OMR!$AF$2:$AF$335</definedName>
    <definedName name="SCRF">OMR!$CK$2:$CK$335</definedName>
    <definedName name="SCRL1">OMR!$CL$2:$CL$335</definedName>
    <definedName name="SCRL2">OMR!$CM$2:$CM$335</definedName>
    <definedName name="SCRMG">OMR!$CN$2:$CN$335</definedName>
    <definedName name="SF">OMR!$CD$2:$CD$335</definedName>
    <definedName name="SMG">OMR!$CG$2:$CG$335</definedName>
    <definedName name="SPC">OMR!$DL$2:$DL$335</definedName>
    <definedName name="TCW">OMR!$AC$2:$AC$335</definedName>
    <definedName name="USCRF">OMR!$CT$2:$CT$335</definedName>
    <definedName name="USCRL1">OMR!$CU$2:$CU$335</definedName>
    <definedName name="USCRL2">OMR!$CV$2:$CV$335</definedName>
    <definedName name="USCRMG">OMR!$CW$2:$CW$335</definedName>
    <definedName name="WCD">OMR!$AA$2:$AA$335</definedName>
    <definedName name="WDATE">OMR!$I$2:$I$335</definedName>
    <definedName name="WE">OMR!$Z$2:$Z$335</definedName>
    <definedName name="WM">OMR!$X$2:$X$335</definedName>
    <definedName name="WP">OMR!$Y$2:$Y$335</definedName>
    <definedName name="WS">OMR!$AE$2:$AE$335</definedName>
    <definedName name="ZVAL">OMR!$DE$2:$DE$335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H29" i="1" l="1"/>
  <c r="CJ29" i="1"/>
  <c r="DH29" i="1"/>
  <c r="DF29" i="1"/>
  <c r="CX29" i="1"/>
  <c r="CQ29" i="1"/>
  <c r="CO29" i="1"/>
  <c r="CR29" i="1" s="1"/>
  <c r="CS29" i="1" s="1"/>
  <c r="CC29" i="1"/>
  <c r="BU29" i="1"/>
  <c r="BM29" i="1"/>
  <c r="AZ29" i="1"/>
  <c r="AY29" i="1"/>
  <c r="AX29" i="1"/>
  <c r="AK29" i="1"/>
  <c r="AC29" i="1"/>
  <c r="Y29" i="1"/>
  <c r="AE29" i="1"/>
  <c r="V29" i="1"/>
  <c r="S29" i="1"/>
  <c r="DH102" i="1"/>
  <c r="DF102" i="1"/>
  <c r="CX102" i="1"/>
  <c r="CQ102" i="1"/>
  <c r="CO102" i="1"/>
  <c r="CR102" i="1" s="1"/>
  <c r="CS102" i="1" s="1"/>
  <c r="CJ102" i="1"/>
  <c r="CH102" i="1"/>
  <c r="CC102" i="1"/>
  <c r="BU102" i="1"/>
  <c r="BM102" i="1"/>
  <c r="AZ102" i="1"/>
  <c r="AY102" i="1"/>
  <c r="AX102" i="1"/>
  <c r="AK102" i="1"/>
  <c r="AC102" i="1"/>
  <c r="Y102" i="1"/>
  <c r="AE102" i="1" s="1"/>
  <c r="V102" i="1"/>
  <c r="S102" i="1"/>
  <c r="DH151" i="1"/>
  <c r="DF151" i="1"/>
  <c r="CX151" i="1"/>
  <c r="CQ151" i="1"/>
  <c r="CO151" i="1"/>
  <c r="CR151" i="1" s="1"/>
  <c r="CS151" i="1" s="1"/>
  <c r="CJ151" i="1"/>
  <c r="CH151" i="1"/>
  <c r="CC151" i="1"/>
  <c r="BU151" i="1"/>
  <c r="BM151" i="1"/>
  <c r="AZ151" i="1"/>
  <c r="AY151" i="1"/>
  <c r="AX151" i="1"/>
  <c r="AK151" i="1"/>
  <c r="AC151" i="1"/>
  <c r="Y151" i="1"/>
  <c r="AE151" i="1" s="1"/>
  <c r="V151" i="1"/>
  <c r="S151" i="1"/>
  <c r="DH105" i="1"/>
  <c r="DF105" i="1"/>
  <c r="CX105" i="1"/>
  <c r="CQ105" i="1"/>
  <c r="CO105" i="1"/>
  <c r="CR105" i="1" s="1"/>
  <c r="CS105" i="1" s="1"/>
  <c r="CJ105" i="1"/>
  <c r="CH105" i="1"/>
  <c r="CC105" i="1"/>
  <c r="BU105" i="1"/>
  <c r="BM105" i="1"/>
  <c r="AZ105" i="1"/>
  <c r="AY105" i="1"/>
  <c r="AX105" i="1"/>
  <c r="AK105" i="1"/>
  <c r="AC105" i="1"/>
  <c r="Y105" i="1"/>
  <c r="AE105" i="1" s="1"/>
  <c r="V105" i="1"/>
  <c r="S105" i="1"/>
  <c r="DH10" i="1"/>
  <c r="DF10" i="1"/>
  <c r="CX10" i="1"/>
  <c r="CQ10" i="1"/>
  <c r="CO10" i="1"/>
  <c r="CR10" i="1" s="1"/>
  <c r="CS10" i="1" s="1"/>
  <c r="CJ10" i="1"/>
  <c r="CH10" i="1"/>
  <c r="CC10" i="1"/>
  <c r="BU10" i="1"/>
  <c r="BM10" i="1"/>
  <c r="AZ10" i="1"/>
  <c r="AY10" i="1"/>
  <c r="AX10" i="1"/>
  <c r="AK10" i="1"/>
  <c r="AC10" i="1"/>
  <c r="Y10" i="1"/>
  <c r="AE10" i="1" s="1"/>
  <c r="V10" i="1"/>
  <c r="S10" i="1"/>
  <c r="DH45" i="1"/>
  <c r="DF45" i="1"/>
  <c r="CX45" i="1"/>
  <c r="CQ45" i="1"/>
  <c r="CO45" i="1"/>
  <c r="CR45" i="1" s="1"/>
  <c r="CS45" i="1" s="1"/>
  <c r="CJ45" i="1"/>
  <c r="CH45" i="1"/>
  <c r="CC45" i="1"/>
  <c r="BU45" i="1"/>
  <c r="BM45" i="1"/>
  <c r="AZ45" i="1"/>
  <c r="AY45" i="1"/>
  <c r="AX45" i="1"/>
  <c r="AK45" i="1"/>
  <c r="AC45" i="1"/>
  <c r="Y45" i="1"/>
  <c r="AE45" i="1" s="1"/>
  <c r="V45" i="1"/>
  <c r="S45" i="1"/>
  <c r="DH61" i="1"/>
  <c r="DF61" i="1"/>
  <c r="CX61" i="1"/>
  <c r="CQ61" i="1"/>
  <c r="CO61" i="1"/>
  <c r="CR61" i="1" s="1"/>
  <c r="CS61" i="1" s="1"/>
  <c r="CJ61" i="1"/>
  <c r="CH61" i="1"/>
  <c r="CC61" i="1"/>
  <c r="BU61" i="1"/>
  <c r="BM61" i="1"/>
  <c r="AZ61" i="1"/>
  <c r="AY61" i="1"/>
  <c r="AX61" i="1"/>
  <c r="AK61" i="1"/>
  <c r="AC61" i="1"/>
  <c r="Y61" i="1"/>
  <c r="AE61" i="1" s="1"/>
  <c r="V61" i="1"/>
  <c r="S61" i="1"/>
  <c r="DK57" i="1"/>
  <c r="DH57" i="1"/>
  <c r="DF57" i="1"/>
  <c r="CX57" i="1"/>
  <c r="CQ57" i="1"/>
  <c r="CO57" i="1"/>
  <c r="CR57" i="1" s="1"/>
  <c r="CS57" i="1" s="1"/>
  <c r="CJ57" i="1"/>
  <c r="CH57" i="1"/>
  <c r="CC57" i="1"/>
  <c r="BU57" i="1"/>
  <c r="BM57" i="1"/>
  <c r="AZ57" i="1"/>
  <c r="AY57" i="1"/>
  <c r="AX57" i="1"/>
  <c r="AK57" i="1"/>
  <c r="AC57" i="1"/>
  <c r="Y57" i="1"/>
  <c r="AE57" i="1" s="1"/>
  <c r="V57" i="1"/>
  <c r="S57" i="1"/>
  <c r="DH53" i="1"/>
  <c r="DF53" i="1"/>
  <c r="CX53" i="1"/>
  <c r="CQ53" i="1"/>
  <c r="CO53" i="1"/>
  <c r="CR53" i="1" s="1"/>
  <c r="CS53" i="1" s="1"/>
  <c r="CJ53" i="1"/>
  <c r="CH53" i="1"/>
  <c r="CC53" i="1"/>
  <c r="BU53" i="1"/>
  <c r="BM53" i="1"/>
  <c r="AZ53" i="1"/>
  <c r="AY53" i="1"/>
  <c r="AX53" i="1"/>
  <c r="AK53" i="1"/>
  <c r="AC53" i="1"/>
  <c r="Y53" i="1"/>
  <c r="AE53" i="1" s="1"/>
  <c r="V53" i="1"/>
  <c r="S53" i="1"/>
  <c r="DH5" i="1"/>
  <c r="DF5" i="1"/>
  <c r="CX5" i="1"/>
  <c r="CQ5" i="1"/>
  <c r="CO5" i="1"/>
  <c r="CR5" i="1" s="1"/>
  <c r="CS5" i="1" s="1"/>
  <c r="CJ5" i="1"/>
  <c r="CH5" i="1"/>
  <c r="CC5" i="1"/>
  <c r="BU5" i="1"/>
  <c r="BM5" i="1"/>
  <c r="AZ5" i="1"/>
  <c r="AY5" i="1"/>
  <c r="AX5" i="1"/>
  <c r="AK5" i="1"/>
  <c r="AC5" i="1"/>
  <c r="Y5" i="1"/>
  <c r="AE5" i="1" s="1"/>
  <c r="V5" i="1"/>
  <c r="S5" i="1"/>
  <c r="DJ29" i="1" l="1"/>
  <c r="AD29" i="1"/>
  <c r="W29" i="1"/>
  <c r="AF29" i="1"/>
  <c r="DE29" i="1"/>
  <c r="DI29" i="1"/>
  <c r="CZ29" i="1"/>
  <c r="CY29" i="1"/>
  <c r="DG29" i="1"/>
  <c r="AD102" i="1"/>
  <c r="AF102" i="1" s="1"/>
  <c r="W102" i="1"/>
  <c r="DE102" i="1"/>
  <c r="DI102" i="1"/>
  <c r="DJ102" i="1"/>
  <c r="CZ102" i="1"/>
  <c r="CY102" i="1"/>
  <c r="DG102" i="1"/>
  <c r="AD151" i="1"/>
  <c r="AF151" i="1" s="1"/>
  <c r="W151" i="1"/>
  <c r="DE151" i="1"/>
  <c r="DI151" i="1"/>
  <c r="DJ151" i="1"/>
  <c r="CZ151" i="1"/>
  <c r="DR151" i="1" s="1"/>
  <c r="CY151" i="1"/>
  <c r="DG151" i="1"/>
  <c r="DJ105" i="1"/>
  <c r="AD105" i="1"/>
  <c r="AF105" i="1" s="1"/>
  <c r="W105" i="1"/>
  <c r="DE105" i="1"/>
  <c r="DI105" i="1"/>
  <c r="CZ105" i="1"/>
  <c r="DR105" i="1" s="1"/>
  <c r="CY105" i="1"/>
  <c r="DG105" i="1"/>
  <c r="DJ10" i="1"/>
  <c r="AD10" i="1"/>
  <c r="AF10" i="1" s="1"/>
  <c r="W10" i="1"/>
  <c r="DE10" i="1"/>
  <c r="DI10" i="1"/>
  <c r="CZ10" i="1"/>
  <c r="CY10" i="1"/>
  <c r="DG10" i="1"/>
  <c r="AD45" i="1"/>
  <c r="AF45" i="1" s="1"/>
  <c r="W45" i="1"/>
  <c r="DE45" i="1"/>
  <c r="DI45" i="1"/>
  <c r="DJ45" i="1"/>
  <c r="CZ45" i="1"/>
  <c r="DR45" i="1" s="1"/>
  <c r="CY45" i="1"/>
  <c r="DG45" i="1"/>
  <c r="AD61" i="1"/>
  <c r="AF61" i="1" s="1"/>
  <c r="W61" i="1"/>
  <c r="DE61" i="1"/>
  <c r="DI61" i="1"/>
  <c r="DJ61" i="1"/>
  <c r="CZ61" i="1"/>
  <c r="CY61" i="1"/>
  <c r="DG61" i="1"/>
  <c r="AD57" i="1"/>
  <c r="AF57" i="1" s="1"/>
  <c r="W57" i="1"/>
  <c r="DE57" i="1"/>
  <c r="DI57" i="1"/>
  <c r="DP57" i="1"/>
  <c r="DN57" i="1"/>
  <c r="DJ57" i="1"/>
  <c r="CZ57" i="1"/>
  <c r="CY57" i="1"/>
  <c r="DG57" i="1"/>
  <c r="AD53" i="1"/>
  <c r="AF53" i="1" s="1"/>
  <c r="W53" i="1"/>
  <c r="DE53" i="1"/>
  <c r="DI53" i="1"/>
  <c r="DJ53" i="1"/>
  <c r="CZ53" i="1"/>
  <c r="CY53" i="1"/>
  <c r="DG53" i="1"/>
  <c r="AD5" i="1"/>
  <c r="AF5" i="1" s="1"/>
  <c r="W5" i="1"/>
  <c r="DE5" i="1"/>
  <c r="DI5" i="1"/>
  <c r="DJ5" i="1"/>
  <c r="CZ5" i="1"/>
  <c r="CY5" i="1"/>
  <c r="DG5" i="1"/>
  <c r="DC29" i="1" l="1"/>
  <c r="DD29" i="1" s="1"/>
  <c r="DA29" i="1"/>
  <c r="DB29" i="1" s="1"/>
  <c r="DC102" i="1"/>
  <c r="DD102" i="1" s="1"/>
  <c r="DA102" i="1"/>
  <c r="DB102" i="1" s="1"/>
  <c r="DC151" i="1"/>
  <c r="DD151" i="1" s="1"/>
  <c r="DA151" i="1"/>
  <c r="DB151" i="1" s="1"/>
  <c r="DC105" i="1"/>
  <c r="DD105" i="1" s="1"/>
  <c r="DQ105" i="1" s="1"/>
  <c r="DA105" i="1"/>
  <c r="DB105" i="1" s="1"/>
  <c r="DC10" i="1"/>
  <c r="DD10" i="1" s="1"/>
  <c r="DA10" i="1"/>
  <c r="DB10" i="1" s="1"/>
  <c r="DC45" i="1"/>
  <c r="DD45" i="1" s="1"/>
  <c r="DA45" i="1"/>
  <c r="DB45" i="1" s="1"/>
  <c r="DC61" i="1"/>
  <c r="DD61" i="1" s="1"/>
  <c r="DA61" i="1"/>
  <c r="DB61" i="1" s="1"/>
  <c r="DK61" i="1" s="1"/>
  <c r="DL57" i="1"/>
  <c r="G57" i="1"/>
  <c r="DC57" i="1"/>
  <c r="DD57" i="1" s="1"/>
  <c r="DA57" i="1"/>
  <c r="DB57" i="1" s="1"/>
  <c r="DC53" i="1"/>
  <c r="DD53" i="1" s="1"/>
  <c r="DA53" i="1"/>
  <c r="DB53" i="1" s="1"/>
  <c r="DC5" i="1"/>
  <c r="DD5" i="1" s="1"/>
  <c r="DA5" i="1"/>
  <c r="DB5" i="1" s="1"/>
  <c r="DQ29" i="1" l="1"/>
  <c r="DR29" i="1"/>
  <c r="DS29" i="1"/>
  <c r="DM29" i="1"/>
  <c r="DK29" i="1"/>
  <c r="DO29" i="1"/>
  <c r="DP29" i="1"/>
  <c r="DN29" i="1"/>
  <c r="DS102" i="1"/>
  <c r="DM102" i="1"/>
  <c r="DK102" i="1"/>
  <c r="DO102" i="1"/>
  <c r="DP102" i="1"/>
  <c r="DN102" i="1"/>
  <c r="DQ102" i="1"/>
  <c r="DR102" i="1"/>
  <c r="DS151" i="1"/>
  <c r="DM151" i="1"/>
  <c r="DK151" i="1"/>
  <c r="DO151" i="1"/>
  <c r="DP151" i="1"/>
  <c r="DN151" i="1"/>
  <c r="DQ151" i="1"/>
  <c r="DS105" i="1"/>
  <c r="DM105" i="1"/>
  <c r="DK105" i="1"/>
  <c r="DO105" i="1"/>
  <c r="DP105" i="1"/>
  <c r="DN105" i="1"/>
  <c r="DQ10" i="1"/>
  <c r="DR10" i="1"/>
  <c r="DS10" i="1"/>
  <c r="DM10" i="1"/>
  <c r="DK10" i="1"/>
  <c r="DO10" i="1"/>
  <c r="DP10" i="1"/>
  <c r="DN10" i="1"/>
  <c r="DS45" i="1"/>
  <c r="DM45" i="1"/>
  <c r="DK45" i="1"/>
  <c r="DO45" i="1"/>
  <c r="DP45" i="1"/>
  <c r="DN45" i="1"/>
  <c r="DQ45" i="1"/>
  <c r="DL61" i="1"/>
  <c r="G61" i="1"/>
  <c r="DP61" i="1"/>
  <c r="DN61" i="1"/>
  <c r="DS61" i="1"/>
  <c r="DM61" i="1"/>
  <c r="DO61" i="1"/>
  <c r="DQ61" i="1"/>
  <c r="DR61" i="1"/>
  <c r="DT61" i="1"/>
  <c r="F61" i="1" s="1"/>
  <c r="H61" i="1"/>
  <c r="DS57" i="1"/>
  <c r="DM57" i="1"/>
  <c r="DO57" i="1"/>
  <c r="DQ57" i="1"/>
  <c r="DR57" i="1"/>
  <c r="DT57" i="1"/>
  <c r="F57" i="1" s="1"/>
  <c r="H57" i="1"/>
  <c r="DS53" i="1"/>
  <c r="DM53" i="1"/>
  <c r="DK53" i="1"/>
  <c r="DO53" i="1"/>
  <c r="DP53" i="1"/>
  <c r="DN53" i="1"/>
  <c r="DQ53" i="1"/>
  <c r="DR53" i="1"/>
  <c r="DS5" i="1"/>
  <c r="DM5" i="1"/>
  <c r="DK5" i="1"/>
  <c r="DO5" i="1"/>
  <c r="DP5" i="1"/>
  <c r="DN5" i="1"/>
  <c r="DQ5" i="1"/>
  <c r="DR5" i="1"/>
  <c r="G29" i="1" l="1"/>
  <c r="DL29" i="1"/>
  <c r="DL102" i="1"/>
  <c r="G102" i="1"/>
  <c r="DL151" i="1"/>
  <c r="G151" i="1"/>
  <c r="G105" i="1"/>
  <c r="DL105" i="1"/>
  <c r="G10" i="1"/>
  <c r="DL10" i="1"/>
  <c r="DL45" i="1"/>
  <c r="G45" i="1"/>
  <c r="DL53" i="1"/>
  <c r="G53" i="1"/>
  <c r="DL5" i="1"/>
  <c r="G5" i="1"/>
  <c r="DT29" i="1" l="1"/>
  <c r="F29" i="1" s="1"/>
  <c r="H29" i="1"/>
  <c r="DT102" i="1"/>
  <c r="F102" i="1" s="1"/>
  <c r="H102" i="1"/>
  <c r="DT151" i="1"/>
  <c r="F151" i="1" s="1"/>
  <c r="H151" i="1"/>
  <c r="DT105" i="1"/>
  <c r="F105" i="1" s="1"/>
  <c r="H105" i="1"/>
  <c r="DT10" i="1"/>
  <c r="F10" i="1" s="1"/>
  <c r="H10" i="1"/>
  <c r="DT45" i="1"/>
  <c r="F45" i="1" s="1"/>
  <c r="H45" i="1"/>
  <c r="DT53" i="1"/>
  <c r="F53" i="1" s="1"/>
  <c r="H53" i="1"/>
  <c r="DT5" i="1"/>
  <c r="F5" i="1" s="1"/>
  <c r="H5" i="1"/>
  <c r="DH100" i="1" l="1"/>
  <c r="DF100" i="1"/>
  <c r="CX100" i="1"/>
  <c r="CQ100" i="1"/>
  <c r="CO100" i="1"/>
  <c r="CR100" i="1" s="1"/>
  <c r="CS100" i="1" s="1"/>
  <c r="CJ100" i="1"/>
  <c r="CH100" i="1"/>
  <c r="CC100" i="1"/>
  <c r="BU100" i="1"/>
  <c r="BM100" i="1"/>
  <c r="AZ100" i="1"/>
  <c r="AY100" i="1"/>
  <c r="AX100" i="1"/>
  <c r="AK100" i="1"/>
  <c r="AC100" i="1"/>
  <c r="Y100" i="1"/>
  <c r="AE100" i="1" s="1"/>
  <c r="V100" i="1"/>
  <c r="S100" i="1"/>
  <c r="DJ128" i="1"/>
  <c r="DH128" i="1"/>
  <c r="DF128" i="1"/>
  <c r="CX128" i="1"/>
  <c r="CQ128" i="1"/>
  <c r="CO128" i="1"/>
  <c r="CR128" i="1" s="1"/>
  <c r="CS128" i="1" s="1"/>
  <c r="CJ128" i="1"/>
  <c r="CH128" i="1"/>
  <c r="CC128" i="1"/>
  <c r="BU128" i="1"/>
  <c r="BM128" i="1"/>
  <c r="AZ128" i="1"/>
  <c r="AY128" i="1"/>
  <c r="AX128" i="1"/>
  <c r="AK128" i="1"/>
  <c r="AC128" i="1"/>
  <c r="Y128" i="1"/>
  <c r="AE128" i="1" s="1"/>
  <c r="V128" i="1"/>
  <c r="S128" i="1"/>
  <c r="DH133" i="1"/>
  <c r="DF133" i="1"/>
  <c r="CX133" i="1"/>
  <c r="CQ133" i="1"/>
  <c r="CO133" i="1"/>
  <c r="CR133" i="1" s="1"/>
  <c r="CS133" i="1" s="1"/>
  <c r="CJ133" i="1"/>
  <c r="CH133" i="1"/>
  <c r="CC133" i="1"/>
  <c r="BU133" i="1"/>
  <c r="BM133" i="1"/>
  <c r="AZ133" i="1"/>
  <c r="AY133" i="1"/>
  <c r="AX133" i="1"/>
  <c r="AK133" i="1"/>
  <c r="AC133" i="1"/>
  <c r="Y133" i="1"/>
  <c r="AE133" i="1" s="1"/>
  <c r="V133" i="1"/>
  <c r="S133" i="1"/>
  <c r="DH94" i="1"/>
  <c r="DF94" i="1"/>
  <c r="CX94" i="1"/>
  <c r="CQ94" i="1"/>
  <c r="CO94" i="1"/>
  <c r="CR94" i="1" s="1"/>
  <c r="CS94" i="1" s="1"/>
  <c r="CJ94" i="1"/>
  <c r="CH94" i="1"/>
  <c r="CC94" i="1"/>
  <c r="BU94" i="1"/>
  <c r="BM94" i="1"/>
  <c r="AZ94" i="1"/>
  <c r="AY94" i="1"/>
  <c r="AX94" i="1"/>
  <c r="AK94" i="1"/>
  <c r="AC94" i="1"/>
  <c r="Y94" i="1"/>
  <c r="AE94" i="1" s="1"/>
  <c r="V94" i="1"/>
  <c r="S94" i="1"/>
  <c r="DH55" i="1"/>
  <c r="DF55" i="1"/>
  <c r="CX55" i="1"/>
  <c r="CQ55" i="1"/>
  <c r="CO55" i="1"/>
  <c r="CR55" i="1" s="1"/>
  <c r="CS55" i="1" s="1"/>
  <c r="CJ55" i="1"/>
  <c r="CH55" i="1"/>
  <c r="CC55" i="1"/>
  <c r="BU55" i="1"/>
  <c r="BM55" i="1"/>
  <c r="AZ55" i="1"/>
  <c r="AY55" i="1"/>
  <c r="AX55" i="1"/>
  <c r="AK55" i="1"/>
  <c r="AC55" i="1"/>
  <c r="Y55" i="1"/>
  <c r="AE55" i="1" s="1"/>
  <c r="V55" i="1"/>
  <c r="S55" i="1"/>
  <c r="DH130" i="1"/>
  <c r="DF130" i="1"/>
  <c r="CX130" i="1"/>
  <c r="CQ130" i="1"/>
  <c r="CO130" i="1"/>
  <c r="CR130" i="1" s="1"/>
  <c r="CS130" i="1" s="1"/>
  <c r="CJ130" i="1"/>
  <c r="CH130" i="1"/>
  <c r="CC130" i="1"/>
  <c r="BU130" i="1"/>
  <c r="BM130" i="1"/>
  <c r="AZ130" i="1"/>
  <c r="AY130" i="1"/>
  <c r="AX130" i="1"/>
  <c r="AK130" i="1"/>
  <c r="AC130" i="1"/>
  <c r="Y130" i="1"/>
  <c r="AE130" i="1" s="1"/>
  <c r="V130" i="1"/>
  <c r="S130" i="1"/>
  <c r="DH49" i="1"/>
  <c r="DF49" i="1"/>
  <c r="CX49" i="1"/>
  <c r="CQ49" i="1"/>
  <c r="CO49" i="1"/>
  <c r="CR49" i="1" s="1"/>
  <c r="CS49" i="1" s="1"/>
  <c r="CJ49" i="1"/>
  <c r="CH49" i="1"/>
  <c r="CC49" i="1"/>
  <c r="BU49" i="1"/>
  <c r="BM49" i="1"/>
  <c r="AZ49" i="1"/>
  <c r="AY49" i="1"/>
  <c r="AX49" i="1"/>
  <c r="AK49" i="1"/>
  <c r="AC49" i="1"/>
  <c r="Y49" i="1"/>
  <c r="AE49" i="1" s="1"/>
  <c r="V49" i="1"/>
  <c r="S49" i="1"/>
  <c r="AC78" i="1"/>
  <c r="CX334" i="1"/>
  <c r="CX333" i="1"/>
  <c r="CZ333" i="1" s="1"/>
  <c r="CX332" i="1"/>
  <c r="CZ332" i="1" s="1"/>
  <c r="CX331" i="1"/>
  <c r="CZ331" i="1" s="1"/>
  <c r="CX330" i="1"/>
  <c r="CY330" i="1" s="1"/>
  <c r="CX329" i="1"/>
  <c r="CZ329" i="1" s="1"/>
  <c r="CX328" i="1"/>
  <c r="CZ328" i="1" s="1"/>
  <c r="CX327" i="1"/>
  <c r="CZ327" i="1" s="1"/>
  <c r="CX326" i="1"/>
  <c r="CY326" i="1" s="1"/>
  <c r="CX325" i="1"/>
  <c r="CZ325" i="1" s="1"/>
  <c r="CX324" i="1"/>
  <c r="CY324" i="1" s="1"/>
  <c r="CX323" i="1"/>
  <c r="CY323" i="1" s="1"/>
  <c r="CX322" i="1"/>
  <c r="CZ322" i="1" s="1"/>
  <c r="CX321" i="1"/>
  <c r="CY321" i="1" s="1"/>
  <c r="CX320" i="1"/>
  <c r="CX319" i="1"/>
  <c r="CZ319" i="1" s="1"/>
  <c r="CX318" i="1"/>
  <c r="CY318" i="1" s="1"/>
  <c r="CX317" i="1"/>
  <c r="CZ317" i="1" s="1"/>
  <c r="CX316" i="1"/>
  <c r="CY316" i="1" s="1"/>
  <c r="CX315" i="1"/>
  <c r="CY315" i="1" s="1"/>
  <c r="CX140" i="1"/>
  <c r="CZ140" i="1" s="1"/>
  <c r="CX314" i="1"/>
  <c r="CY314" i="1" s="1"/>
  <c r="CX313" i="1"/>
  <c r="CX312" i="1"/>
  <c r="CZ312" i="1" s="1"/>
  <c r="CX311" i="1"/>
  <c r="CY311" i="1" s="1"/>
  <c r="CX310" i="1"/>
  <c r="CZ310" i="1" s="1"/>
  <c r="CX309" i="1"/>
  <c r="CZ309" i="1" s="1"/>
  <c r="CX308" i="1"/>
  <c r="CZ308" i="1" s="1"/>
  <c r="CX307" i="1"/>
  <c r="CZ307" i="1" s="1"/>
  <c r="CX306" i="1"/>
  <c r="CZ306" i="1" s="1"/>
  <c r="CX305" i="1"/>
  <c r="CZ305" i="1" s="1"/>
  <c r="CX304" i="1"/>
  <c r="CX303" i="1"/>
  <c r="CX302" i="1"/>
  <c r="CZ302" i="1" s="1"/>
  <c r="CX301" i="1"/>
  <c r="CY301" i="1" s="1"/>
  <c r="CX300" i="1"/>
  <c r="CY300" i="1" s="1"/>
  <c r="CX299" i="1"/>
  <c r="CY299" i="1" s="1"/>
  <c r="CX298" i="1"/>
  <c r="CZ298" i="1" s="1"/>
  <c r="CX297" i="1"/>
  <c r="CY297" i="1" s="1"/>
  <c r="CX296" i="1"/>
  <c r="CZ296" i="1" s="1"/>
  <c r="CX295" i="1"/>
  <c r="CY295" i="1" s="1"/>
  <c r="CX294" i="1"/>
  <c r="CY294" i="1" s="1"/>
  <c r="CX293" i="1"/>
  <c r="CZ293" i="1" s="1"/>
  <c r="CX292" i="1"/>
  <c r="CZ292" i="1" s="1"/>
  <c r="CX291" i="1"/>
  <c r="CZ291" i="1" s="1"/>
  <c r="CX290" i="1"/>
  <c r="CZ290" i="1" s="1"/>
  <c r="CX289" i="1"/>
  <c r="CZ289" i="1" s="1"/>
  <c r="CX287" i="1"/>
  <c r="CZ287" i="1" s="1"/>
  <c r="CX286" i="1"/>
  <c r="CX285" i="1"/>
  <c r="CZ285" i="1" s="1"/>
  <c r="CX284" i="1"/>
  <c r="CZ284" i="1" s="1"/>
  <c r="CX283" i="1"/>
  <c r="CY283" i="1" s="1"/>
  <c r="CX282" i="1"/>
  <c r="CY282" i="1" s="1"/>
  <c r="CX281" i="1"/>
  <c r="CZ281" i="1" s="1"/>
  <c r="CX280" i="1"/>
  <c r="CY280" i="1" s="1"/>
  <c r="CX279" i="1"/>
  <c r="CZ279" i="1" s="1"/>
  <c r="CX278" i="1"/>
  <c r="CY278" i="1" s="1"/>
  <c r="CX277" i="1"/>
  <c r="CY277" i="1" s="1"/>
  <c r="CX276" i="1"/>
  <c r="CZ276" i="1" s="1"/>
  <c r="CX275" i="1"/>
  <c r="CZ275" i="1" s="1"/>
  <c r="CX274" i="1"/>
  <c r="CZ274" i="1" s="1"/>
  <c r="CX273" i="1"/>
  <c r="CZ273" i="1" s="1"/>
  <c r="CX272" i="1"/>
  <c r="CY272" i="1" s="1"/>
  <c r="CX271" i="1"/>
  <c r="CX270" i="1"/>
  <c r="CX269" i="1"/>
  <c r="CZ269" i="1" s="1"/>
  <c r="CX268" i="1"/>
  <c r="CY268" i="1" s="1"/>
  <c r="CX267" i="1"/>
  <c r="CZ267" i="1" s="1"/>
  <c r="CX266" i="1"/>
  <c r="CZ266" i="1" s="1"/>
  <c r="CX265" i="1"/>
  <c r="CY265" i="1" s="1"/>
  <c r="CX264" i="1"/>
  <c r="CZ264" i="1" s="1"/>
  <c r="CX263" i="1"/>
  <c r="CX262" i="1"/>
  <c r="CX261" i="1"/>
  <c r="CY261" i="1" s="1"/>
  <c r="CX260" i="1"/>
  <c r="CY260" i="1" s="1"/>
  <c r="CX259" i="1"/>
  <c r="CZ259" i="1" s="1"/>
  <c r="CX258" i="1"/>
  <c r="CY258" i="1" s="1"/>
  <c r="CX257" i="1"/>
  <c r="CY257" i="1" s="1"/>
  <c r="CX256" i="1"/>
  <c r="CZ256" i="1" s="1"/>
  <c r="CX255" i="1"/>
  <c r="CX254" i="1"/>
  <c r="CY254" i="1" s="1"/>
  <c r="CX253" i="1"/>
  <c r="CY253" i="1" s="1"/>
  <c r="CX252" i="1"/>
  <c r="CY252" i="1" s="1"/>
  <c r="CX251" i="1"/>
  <c r="CZ251" i="1" s="1"/>
  <c r="CX250" i="1"/>
  <c r="CZ250" i="1" s="1"/>
  <c r="CX249" i="1"/>
  <c r="CZ249" i="1" s="1"/>
  <c r="CX248" i="1"/>
  <c r="CZ248" i="1" s="1"/>
  <c r="CX247" i="1"/>
  <c r="CZ247" i="1" s="1"/>
  <c r="CX246" i="1"/>
  <c r="CZ246" i="1" s="1"/>
  <c r="CX245" i="1"/>
  <c r="CZ245" i="1" s="1"/>
  <c r="CX244" i="1"/>
  <c r="CZ244" i="1" s="1"/>
  <c r="CX243" i="1"/>
  <c r="CZ243" i="1" s="1"/>
  <c r="CX242" i="1"/>
  <c r="CZ242" i="1" s="1"/>
  <c r="CX241" i="1"/>
  <c r="CZ241" i="1" s="1"/>
  <c r="CX240" i="1"/>
  <c r="CZ240" i="1" s="1"/>
  <c r="CX239" i="1"/>
  <c r="CX238" i="1"/>
  <c r="CX237" i="1"/>
  <c r="CZ237" i="1" s="1"/>
  <c r="CX236" i="1"/>
  <c r="CY236" i="1" s="1"/>
  <c r="CX235" i="1"/>
  <c r="CZ235" i="1" s="1"/>
  <c r="CX234" i="1"/>
  <c r="CY234" i="1" s="1"/>
  <c r="CX233" i="1"/>
  <c r="CZ233" i="1" s="1"/>
  <c r="CX232" i="1"/>
  <c r="CZ232" i="1" s="1"/>
  <c r="CX231" i="1"/>
  <c r="CZ231" i="1" s="1"/>
  <c r="CX230" i="1"/>
  <c r="CX229" i="1"/>
  <c r="CY229" i="1" s="1"/>
  <c r="CX228" i="1"/>
  <c r="CY228" i="1" s="1"/>
  <c r="CX227" i="1"/>
  <c r="CZ227" i="1" s="1"/>
  <c r="CX226" i="1"/>
  <c r="CZ226" i="1" s="1"/>
  <c r="CX225" i="1"/>
  <c r="CY225" i="1" s="1"/>
  <c r="CX224" i="1"/>
  <c r="CY224" i="1" s="1"/>
  <c r="CX223" i="1"/>
  <c r="CZ223" i="1" s="1"/>
  <c r="CX222" i="1"/>
  <c r="CX221" i="1"/>
  <c r="CY221" i="1" s="1"/>
  <c r="CX220" i="1"/>
  <c r="CZ220" i="1" s="1"/>
  <c r="CX219" i="1"/>
  <c r="CY219" i="1" s="1"/>
  <c r="CX218" i="1"/>
  <c r="CZ218" i="1" s="1"/>
  <c r="CX217" i="1"/>
  <c r="CY217" i="1" s="1"/>
  <c r="CX216" i="1"/>
  <c r="CZ216" i="1" s="1"/>
  <c r="CX215" i="1"/>
  <c r="CZ215" i="1" s="1"/>
  <c r="CX214" i="1"/>
  <c r="CX213" i="1"/>
  <c r="CY213" i="1" s="1"/>
  <c r="CX212" i="1"/>
  <c r="CY212" i="1" s="1"/>
  <c r="CX211" i="1"/>
  <c r="CZ211" i="1" s="1"/>
  <c r="CX210" i="1"/>
  <c r="CX209" i="1"/>
  <c r="CZ209" i="1" s="1"/>
  <c r="CX208" i="1"/>
  <c r="CY208" i="1" s="1"/>
  <c r="CX207" i="1"/>
  <c r="CX206" i="1"/>
  <c r="CX205" i="1"/>
  <c r="CY205" i="1" s="1"/>
  <c r="CX204" i="1"/>
  <c r="CZ204" i="1" s="1"/>
  <c r="CX203" i="1"/>
  <c r="CY203" i="1" s="1"/>
  <c r="CX202" i="1"/>
  <c r="CY202" i="1" s="1"/>
  <c r="CX201" i="1"/>
  <c r="CZ201" i="1" s="1"/>
  <c r="CX200" i="1"/>
  <c r="CY200" i="1" s="1"/>
  <c r="CX199" i="1"/>
  <c r="CZ199" i="1" s="1"/>
  <c r="CX198" i="1"/>
  <c r="CX197" i="1"/>
  <c r="CX196" i="1"/>
  <c r="CZ196" i="1" s="1"/>
  <c r="CX195" i="1"/>
  <c r="CZ195" i="1" s="1"/>
  <c r="CX194" i="1"/>
  <c r="CY194" i="1" s="1"/>
  <c r="CX193" i="1"/>
  <c r="CY193" i="1" s="1"/>
  <c r="CX192" i="1"/>
  <c r="CZ192" i="1" s="1"/>
  <c r="CX191" i="1"/>
  <c r="CZ191" i="1" s="1"/>
  <c r="CX190" i="1"/>
  <c r="CX189" i="1"/>
  <c r="CZ189" i="1" s="1"/>
  <c r="CX188" i="1"/>
  <c r="CY188" i="1" s="1"/>
  <c r="CX187" i="1"/>
  <c r="CZ187" i="1" s="1"/>
  <c r="CX186" i="1"/>
  <c r="CY186" i="1" s="1"/>
  <c r="CX185" i="1"/>
  <c r="CZ185" i="1" s="1"/>
  <c r="CX184" i="1"/>
  <c r="CZ184" i="1" s="1"/>
  <c r="CX183" i="1"/>
  <c r="CZ183" i="1" s="1"/>
  <c r="CX182" i="1"/>
  <c r="CX181" i="1"/>
  <c r="CZ181" i="1" s="1"/>
  <c r="CX180" i="1"/>
  <c r="CZ180" i="1" s="1"/>
  <c r="CX179" i="1"/>
  <c r="CY179" i="1" s="1"/>
  <c r="CX178" i="1"/>
  <c r="CX177" i="1"/>
  <c r="CY177" i="1" s="1"/>
  <c r="CX31" i="1"/>
  <c r="CZ31" i="1" s="1"/>
  <c r="CX176" i="1"/>
  <c r="CZ176" i="1" s="1"/>
  <c r="CX175" i="1"/>
  <c r="CX174" i="1"/>
  <c r="CY174" i="1" s="1"/>
  <c r="CX173" i="1"/>
  <c r="CZ173" i="1" s="1"/>
  <c r="CX172" i="1"/>
  <c r="CZ172" i="1" s="1"/>
  <c r="CX171" i="1"/>
  <c r="CY171" i="1" s="1"/>
  <c r="CX170" i="1"/>
  <c r="CZ170" i="1" s="1"/>
  <c r="CX169" i="1"/>
  <c r="CY169" i="1" s="1"/>
  <c r="CX168" i="1"/>
  <c r="CZ168" i="1" s="1"/>
  <c r="CX167" i="1"/>
  <c r="CX166" i="1"/>
  <c r="CZ166" i="1" s="1"/>
  <c r="CX165" i="1"/>
  <c r="CY165" i="1" s="1"/>
  <c r="CX164" i="1"/>
  <c r="CZ164" i="1" s="1"/>
  <c r="CX163" i="1"/>
  <c r="CY163" i="1" s="1"/>
  <c r="CX162" i="1"/>
  <c r="CZ162" i="1" s="1"/>
  <c r="CX161" i="1"/>
  <c r="CY161" i="1" s="1"/>
  <c r="CX160" i="1"/>
  <c r="CZ160" i="1" s="1"/>
  <c r="CX159" i="1"/>
  <c r="CX158" i="1"/>
  <c r="CZ158" i="1" s="1"/>
  <c r="CX157" i="1"/>
  <c r="CY157" i="1" s="1"/>
  <c r="CX156" i="1"/>
  <c r="CY156" i="1" s="1"/>
  <c r="CX152" i="1"/>
  <c r="CZ152" i="1" s="1"/>
  <c r="CX150" i="1"/>
  <c r="CY150" i="1" s="1"/>
  <c r="CX14" i="1"/>
  <c r="CZ14" i="1" s="1"/>
  <c r="CX149" i="1"/>
  <c r="CZ149" i="1" s="1"/>
  <c r="CX148" i="1"/>
  <c r="CX147" i="1"/>
  <c r="CZ147" i="1" s="1"/>
  <c r="CX146" i="1"/>
  <c r="CY146" i="1" s="1"/>
  <c r="CX144" i="1"/>
  <c r="CY144" i="1" s="1"/>
  <c r="CX143" i="1"/>
  <c r="CZ143" i="1" s="1"/>
  <c r="CX141" i="1"/>
  <c r="CZ141" i="1" s="1"/>
  <c r="CX139" i="1"/>
  <c r="CZ139" i="1" s="1"/>
  <c r="CX138" i="1"/>
  <c r="CZ138" i="1" s="1"/>
  <c r="CX137" i="1"/>
  <c r="CX136" i="1"/>
  <c r="CY136" i="1" s="1"/>
  <c r="CX135" i="1"/>
  <c r="CZ135" i="1" s="1"/>
  <c r="CX134" i="1"/>
  <c r="CZ134" i="1" s="1"/>
  <c r="CX132" i="1"/>
  <c r="CZ132" i="1" s="1"/>
  <c r="CX131" i="1"/>
  <c r="CZ131" i="1" s="1"/>
  <c r="CX129" i="1"/>
  <c r="CZ129" i="1" s="1"/>
  <c r="CX13" i="1"/>
  <c r="CZ13" i="1" s="1"/>
  <c r="CX127" i="1"/>
  <c r="CX126" i="1"/>
  <c r="CY126" i="1" s="1"/>
  <c r="CX125" i="1"/>
  <c r="CY125" i="1" s="1"/>
  <c r="CX124" i="1"/>
  <c r="CY124" i="1" s="1"/>
  <c r="CX122" i="1"/>
  <c r="CX121" i="1"/>
  <c r="CZ121" i="1" s="1"/>
  <c r="CX120" i="1"/>
  <c r="CZ120" i="1" s="1"/>
  <c r="CX119" i="1"/>
  <c r="CZ119" i="1" s="1"/>
  <c r="CX288" i="1"/>
  <c r="CX118" i="1"/>
  <c r="CY118" i="1" s="1"/>
  <c r="CX117" i="1"/>
  <c r="CZ117" i="1" s="1"/>
  <c r="CX116" i="1"/>
  <c r="CY116" i="1" s="1"/>
  <c r="CX115" i="1"/>
  <c r="CY115" i="1" s="1"/>
  <c r="CX114" i="1"/>
  <c r="CY114" i="1" s="1"/>
  <c r="CX113" i="1"/>
  <c r="CZ113" i="1" s="1"/>
  <c r="CX112" i="1"/>
  <c r="CX111" i="1"/>
  <c r="CX110" i="1"/>
  <c r="CY110" i="1" s="1"/>
  <c r="CX109" i="1"/>
  <c r="CZ109" i="1" s="1"/>
  <c r="CX108" i="1"/>
  <c r="CY108" i="1" s="1"/>
  <c r="CX107" i="1"/>
  <c r="CX106" i="1"/>
  <c r="CY106" i="1" s="1"/>
  <c r="CX104" i="1"/>
  <c r="CZ104" i="1" s="1"/>
  <c r="CX103" i="1"/>
  <c r="CX101" i="1"/>
  <c r="CX12" i="1"/>
  <c r="CZ12" i="1" s="1"/>
  <c r="CX99" i="1"/>
  <c r="CY99" i="1" s="1"/>
  <c r="CX98" i="1"/>
  <c r="CZ98" i="1" s="1"/>
  <c r="CX97" i="1"/>
  <c r="CZ97" i="1" s="1"/>
  <c r="CX72" i="1"/>
  <c r="CZ72" i="1" s="1"/>
  <c r="CX96" i="1"/>
  <c r="CZ96" i="1" s="1"/>
  <c r="CX145" i="1"/>
  <c r="CZ145" i="1" s="1"/>
  <c r="CX11" i="1"/>
  <c r="CX95" i="1"/>
  <c r="CZ95" i="1" s="1"/>
  <c r="CX93" i="1"/>
  <c r="CY93" i="1" s="1"/>
  <c r="CX92" i="1"/>
  <c r="CZ92" i="1" s="1"/>
  <c r="CX91" i="1"/>
  <c r="CZ91" i="1" s="1"/>
  <c r="CX90" i="1"/>
  <c r="CZ90" i="1" s="1"/>
  <c r="CX89" i="1"/>
  <c r="CZ89" i="1" s="1"/>
  <c r="CX87" i="1"/>
  <c r="CZ87" i="1" s="1"/>
  <c r="CX86" i="1"/>
  <c r="CX8" i="1"/>
  <c r="CZ8" i="1" s="1"/>
  <c r="CX85" i="1"/>
  <c r="CY85" i="1" s="1"/>
  <c r="CX84" i="1"/>
  <c r="CZ84" i="1" s="1"/>
  <c r="CX82" i="1"/>
  <c r="CX80" i="1"/>
  <c r="CZ80" i="1" s="1"/>
  <c r="CX79" i="1"/>
  <c r="CZ79" i="1" s="1"/>
  <c r="CX78" i="1"/>
  <c r="CZ78" i="1" s="1"/>
  <c r="CX77" i="1"/>
  <c r="CX76" i="1"/>
  <c r="CZ76" i="1" s="1"/>
  <c r="CX75" i="1"/>
  <c r="CZ75" i="1" s="1"/>
  <c r="CX9" i="1"/>
  <c r="CY9" i="1" s="1"/>
  <c r="CX74" i="1"/>
  <c r="CX73" i="1"/>
  <c r="CZ73" i="1" s="1"/>
  <c r="CX71" i="1"/>
  <c r="CZ71" i="1" s="1"/>
  <c r="CX70" i="1"/>
  <c r="CX69" i="1"/>
  <c r="CX68" i="1"/>
  <c r="CZ68" i="1" s="1"/>
  <c r="CX67" i="1"/>
  <c r="CY67" i="1" s="1"/>
  <c r="CX66" i="1"/>
  <c r="CZ66" i="1" s="1"/>
  <c r="CX65" i="1"/>
  <c r="CX48" i="1"/>
  <c r="CZ48" i="1" s="1"/>
  <c r="CX63" i="1"/>
  <c r="CZ63" i="1" s="1"/>
  <c r="CX62" i="1"/>
  <c r="CX60" i="1"/>
  <c r="CX59" i="1"/>
  <c r="CZ59" i="1" s="1"/>
  <c r="CX58" i="1"/>
  <c r="CZ58" i="1" s="1"/>
  <c r="CX54" i="1"/>
  <c r="CZ54" i="1" s="1"/>
  <c r="CX52" i="1"/>
  <c r="CX51" i="1"/>
  <c r="CX50" i="1"/>
  <c r="CZ50" i="1" s="1"/>
  <c r="CX123" i="1"/>
  <c r="CZ123" i="1" s="1"/>
  <c r="CX6" i="1"/>
  <c r="CX47" i="1"/>
  <c r="CY47" i="1" s="1"/>
  <c r="CX46" i="1"/>
  <c r="CZ46" i="1" s="1"/>
  <c r="CX44" i="1"/>
  <c r="CY44" i="1" s="1"/>
  <c r="CX42" i="1"/>
  <c r="CX41" i="1"/>
  <c r="CX40" i="1"/>
  <c r="CZ40" i="1" s="1"/>
  <c r="CX39" i="1"/>
  <c r="CZ39" i="1" s="1"/>
  <c r="CX38" i="1"/>
  <c r="CX37" i="1"/>
  <c r="CZ37" i="1" s="1"/>
  <c r="CX36" i="1"/>
  <c r="CZ36" i="1" s="1"/>
  <c r="CX35" i="1"/>
  <c r="CZ35" i="1" s="1"/>
  <c r="CX34" i="1"/>
  <c r="CX33" i="1"/>
  <c r="CX32" i="1"/>
  <c r="CZ32" i="1" s="1"/>
  <c r="CX83" i="1"/>
  <c r="CZ83" i="1" s="1"/>
  <c r="CX30" i="1"/>
  <c r="CX28" i="1"/>
  <c r="CZ28" i="1" s="1"/>
  <c r="CX27" i="1"/>
  <c r="CZ27" i="1" s="1"/>
  <c r="CX26" i="1"/>
  <c r="CZ26" i="1" s="1"/>
  <c r="CX25" i="1"/>
  <c r="CX24" i="1"/>
  <c r="CZ24" i="1" s="1"/>
  <c r="CX23" i="1"/>
  <c r="CZ23" i="1" s="1"/>
  <c r="CX142" i="1"/>
  <c r="CZ142" i="1" s="1"/>
  <c r="CX22" i="1"/>
  <c r="CX21" i="1"/>
  <c r="CX20" i="1"/>
  <c r="CY20" i="1" s="1"/>
  <c r="CX19" i="1"/>
  <c r="CY19" i="1" s="1"/>
  <c r="CX18" i="1"/>
  <c r="CY18" i="1" s="1"/>
  <c r="CX17" i="1"/>
  <c r="CZ17" i="1" s="1"/>
  <c r="CX16" i="1"/>
  <c r="CZ16" i="1" s="1"/>
  <c r="CX15" i="1"/>
  <c r="CZ15" i="1" s="1"/>
  <c r="CX88" i="1"/>
  <c r="CX81" i="1"/>
  <c r="CX7" i="1"/>
  <c r="CY7" i="1" s="1"/>
  <c r="CX64" i="1"/>
  <c r="CY64" i="1" s="1"/>
  <c r="CX43" i="1"/>
  <c r="CY43" i="1" s="1"/>
  <c r="CX56" i="1"/>
  <c r="DL334" i="1"/>
  <c r="DK334" i="1"/>
  <c r="DJ334" i="1"/>
  <c r="DH334" i="1"/>
  <c r="DF334" i="1"/>
  <c r="CZ334" i="1"/>
  <c r="CY334" i="1"/>
  <c r="DL333" i="1"/>
  <c r="DK333" i="1"/>
  <c r="DJ333" i="1"/>
  <c r="DH333" i="1"/>
  <c r="DF333" i="1"/>
  <c r="DH332" i="1"/>
  <c r="DF332" i="1"/>
  <c r="DJ331" i="1"/>
  <c r="DH331" i="1"/>
  <c r="DF331" i="1"/>
  <c r="DH330" i="1"/>
  <c r="DF330" i="1"/>
  <c r="DJ329" i="1"/>
  <c r="DH329" i="1"/>
  <c r="DF329" i="1"/>
  <c r="DJ328" i="1"/>
  <c r="DH328" i="1"/>
  <c r="DF328" i="1"/>
  <c r="DH327" i="1"/>
  <c r="DF327" i="1"/>
  <c r="DH326" i="1"/>
  <c r="DF326" i="1"/>
  <c r="CZ326" i="1"/>
  <c r="DH325" i="1"/>
  <c r="DF325" i="1"/>
  <c r="CY325" i="1"/>
  <c r="DH324" i="1"/>
  <c r="DF324" i="1"/>
  <c r="DJ323" i="1"/>
  <c r="DH323" i="1"/>
  <c r="DF323" i="1"/>
  <c r="DJ322" i="1"/>
  <c r="DH322" i="1"/>
  <c r="DF322" i="1"/>
  <c r="DK321" i="1"/>
  <c r="DH321" i="1"/>
  <c r="DF321" i="1"/>
  <c r="DK320" i="1"/>
  <c r="DH320" i="1"/>
  <c r="DF320" i="1"/>
  <c r="DH319" i="1"/>
  <c r="DF319" i="1"/>
  <c r="DJ318" i="1"/>
  <c r="DH318" i="1"/>
  <c r="DF318" i="1"/>
  <c r="CZ318" i="1"/>
  <c r="DH317" i="1"/>
  <c r="DF317" i="1"/>
  <c r="CY317" i="1"/>
  <c r="DJ316" i="1"/>
  <c r="DH316" i="1"/>
  <c r="DF316" i="1"/>
  <c r="DH315" i="1"/>
  <c r="DF315" i="1"/>
  <c r="DH140" i="1"/>
  <c r="DF140" i="1"/>
  <c r="DJ314" i="1"/>
  <c r="DH314" i="1"/>
  <c r="DF314" i="1"/>
  <c r="CZ314" i="1"/>
  <c r="DK313" i="1"/>
  <c r="DH313" i="1"/>
  <c r="DF313" i="1"/>
  <c r="DH312" i="1"/>
  <c r="DF312" i="1"/>
  <c r="DJ311" i="1"/>
  <c r="DH311" i="1"/>
  <c r="DF311" i="1"/>
  <c r="DH310" i="1"/>
  <c r="DF310" i="1"/>
  <c r="CY310" i="1"/>
  <c r="DH309" i="1"/>
  <c r="DF309" i="1"/>
  <c r="CY309" i="1"/>
  <c r="DH308" i="1"/>
  <c r="DF308" i="1"/>
  <c r="DJ307" i="1"/>
  <c r="DH307" i="1"/>
  <c r="DF307" i="1"/>
  <c r="CY307" i="1"/>
  <c r="DJ306" i="1"/>
  <c r="DH306" i="1"/>
  <c r="DF306" i="1"/>
  <c r="DJ305" i="1"/>
  <c r="DH305" i="1"/>
  <c r="DF305" i="1"/>
  <c r="DJ304" i="1"/>
  <c r="DH304" i="1"/>
  <c r="DF304" i="1"/>
  <c r="DJ303" i="1"/>
  <c r="DH303" i="1"/>
  <c r="DF303" i="1"/>
  <c r="CZ303" i="1"/>
  <c r="CY303" i="1"/>
  <c r="DJ302" i="1"/>
  <c r="DH302" i="1"/>
  <c r="DF302" i="1"/>
  <c r="DJ301" i="1"/>
  <c r="DH301" i="1"/>
  <c r="DF301" i="1"/>
  <c r="DJ300" i="1"/>
  <c r="DH300" i="1"/>
  <c r="DF300" i="1"/>
  <c r="DH299" i="1"/>
  <c r="DF299" i="1"/>
  <c r="DJ298" i="1"/>
  <c r="DH298" i="1"/>
  <c r="DF298" i="1"/>
  <c r="DK297" i="1"/>
  <c r="DH297" i="1"/>
  <c r="DF297" i="1"/>
  <c r="DH296" i="1"/>
  <c r="DF296" i="1"/>
  <c r="DH295" i="1"/>
  <c r="DF295" i="1"/>
  <c r="CZ295" i="1"/>
  <c r="DJ294" i="1"/>
  <c r="DH294" i="1"/>
  <c r="DF294" i="1"/>
  <c r="DJ293" i="1"/>
  <c r="DH293" i="1"/>
  <c r="DF293" i="1"/>
  <c r="DK292" i="1"/>
  <c r="DH292" i="1"/>
  <c r="DF292" i="1"/>
  <c r="DH291" i="1"/>
  <c r="DF291" i="1"/>
  <c r="DK290" i="1"/>
  <c r="DH290" i="1"/>
  <c r="DF290" i="1"/>
  <c r="DJ289" i="1"/>
  <c r="DH289" i="1"/>
  <c r="DF289" i="1"/>
  <c r="DK287" i="1"/>
  <c r="DH287" i="1"/>
  <c r="DF287" i="1"/>
  <c r="DJ286" i="1"/>
  <c r="DH286" i="1"/>
  <c r="DF286" i="1"/>
  <c r="CZ286" i="1"/>
  <c r="CY286" i="1"/>
  <c r="DJ285" i="1"/>
  <c r="DH285" i="1"/>
  <c r="DF285" i="1"/>
  <c r="CY285" i="1"/>
  <c r="DH284" i="1"/>
  <c r="DF284" i="1"/>
  <c r="DJ283" i="1"/>
  <c r="DH283" i="1"/>
  <c r="DF283" i="1"/>
  <c r="DK282" i="1"/>
  <c r="DH282" i="1"/>
  <c r="DF282" i="1"/>
  <c r="CZ282" i="1"/>
  <c r="DJ281" i="1"/>
  <c r="DH281" i="1"/>
  <c r="DF281" i="1"/>
  <c r="DK280" i="1"/>
  <c r="DJ280" i="1"/>
  <c r="DH280" i="1"/>
  <c r="DF280" i="1"/>
  <c r="DH279" i="1"/>
  <c r="DF279" i="1"/>
  <c r="DJ278" i="1"/>
  <c r="DH278" i="1"/>
  <c r="DF278" i="1"/>
  <c r="CZ278" i="1"/>
  <c r="DJ277" i="1"/>
  <c r="DH277" i="1"/>
  <c r="DF277" i="1"/>
  <c r="DJ276" i="1"/>
  <c r="DH276" i="1"/>
  <c r="DF276" i="1"/>
  <c r="DJ275" i="1"/>
  <c r="DH275" i="1"/>
  <c r="DF275" i="1"/>
  <c r="DJ274" i="1"/>
  <c r="DH274" i="1"/>
  <c r="DF274" i="1"/>
  <c r="DJ273" i="1"/>
  <c r="DH273" i="1"/>
  <c r="DF273" i="1"/>
  <c r="DH272" i="1"/>
  <c r="DF272" i="1"/>
  <c r="DJ271" i="1"/>
  <c r="DH271" i="1"/>
  <c r="DF271" i="1"/>
  <c r="DJ270" i="1"/>
  <c r="DH270" i="1"/>
  <c r="DF270" i="1"/>
  <c r="CZ270" i="1"/>
  <c r="CY270" i="1"/>
  <c r="DJ269" i="1"/>
  <c r="DH269" i="1"/>
  <c r="DF269" i="1"/>
  <c r="DJ268" i="1"/>
  <c r="DH268" i="1"/>
  <c r="DF268" i="1"/>
  <c r="DK267" i="1"/>
  <c r="DH267" i="1"/>
  <c r="DF267" i="1"/>
  <c r="DJ266" i="1"/>
  <c r="DH266" i="1"/>
  <c r="DF266" i="1"/>
  <c r="DJ265" i="1"/>
  <c r="DH265" i="1"/>
  <c r="DF265" i="1"/>
  <c r="DK264" i="1"/>
  <c r="DH264" i="1"/>
  <c r="DF264" i="1"/>
  <c r="DH263" i="1"/>
  <c r="DF263" i="1"/>
  <c r="DJ262" i="1"/>
  <c r="DH262" i="1"/>
  <c r="DF262" i="1"/>
  <c r="CZ262" i="1"/>
  <c r="CY262" i="1"/>
  <c r="DH261" i="1"/>
  <c r="DF261" i="1"/>
  <c r="CZ261" i="1"/>
  <c r="DJ260" i="1"/>
  <c r="DH260" i="1"/>
  <c r="DF260" i="1"/>
  <c r="DJ259" i="1"/>
  <c r="DH259" i="1"/>
  <c r="DF259" i="1"/>
  <c r="DJ258" i="1"/>
  <c r="DH258" i="1"/>
  <c r="DF258" i="1"/>
  <c r="CZ258" i="1"/>
  <c r="DJ257" i="1"/>
  <c r="DH257" i="1"/>
  <c r="DF257" i="1"/>
  <c r="DJ256" i="1"/>
  <c r="DH256" i="1"/>
  <c r="DF256" i="1"/>
  <c r="DJ255" i="1"/>
  <c r="DH255" i="1"/>
  <c r="DF255" i="1"/>
  <c r="DJ254" i="1"/>
  <c r="DH254" i="1"/>
  <c r="DF254" i="1"/>
  <c r="CZ254" i="1"/>
  <c r="DJ253" i="1"/>
  <c r="DH253" i="1"/>
  <c r="DF253" i="1"/>
  <c r="DJ252" i="1"/>
  <c r="DH252" i="1"/>
  <c r="DF252" i="1"/>
  <c r="DJ251" i="1"/>
  <c r="DH251" i="1"/>
  <c r="DF251" i="1"/>
  <c r="DJ250" i="1"/>
  <c r="DH250" i="1"/>
  <c r="DF250" i="1"/>
  <c r="CY250" i="1"/>
  <c r="DH249" i="1"/>
  <c r="DF249" i="1"/>
  <c r="DJ248" i="1"/>
  <c r="DH248" i="1"/>
  <c r="DF248" i="1"/>
  <c r="DH247" i="1"/>
  <c r="DF247" i="1"/>
  <c r="DJ246" i="1"/>
  <c r="DH246" i="1"/>
  <c r="DF246" i="1"/>
  <c r="CY246" i="1"/>
  <c r="DJ245" i="1"/>
  <c r="DH245" i="1"/>
  <c r="DF245" i="1"/>
  <c r="DJ244" i="1"/>
  <c r="DH244" i="1"/>
  <c r="DF244" i="1"/>
  <c r="DJ243" i="1"/>
  <c r="DH243" i="1"/>
  <c r="DF243" i="1"/>
  <c r="DH242" i="1"/>
  <c r="DF242" i="1"/>
  <c r="DH241" i="1"/>
  <c r="DF241" i="1"/>
  <c r="DJ240" i="1"/>
  <c r="DH240" i="1"/>
  <c r="DF240" i="1"/>
  <c r="DH239" i="1"/>
  <c r="DF239" i="1"/>
  <c r="DJ238" i="1"/>
  <c r="DH238" i="1"/>
  <c r="DF238" i="1"/>
  <c r="CZ238" i="1"/>
  <c r="CY238" i="1"/>
  <c r="DH237" i="1"/>
  <c r="DF237" i="1"/>
  <c r="DK236" i="1"/>
  <c r="DH236" i="1"/>
  <c r="DF236" i="1"/>
  <c r="DH235" i="1"/>
  <c r="DF235" i="1"/>
  <c r="DJ234" i="1"/>
  <c r="DH234" i="1"/>
  <c r="DF234" i="1"/>
  <c r="CZ234" i="1"/>
  <c r="DJ233" i="1"/>
  <c r="DH233" i="1"/>
  <c r="DF233" i="1"/>
  <c r="CY233" i="1"/>
  <c r="DH232" i="1"/>
  <c r="DF232" i="1"/>
  <c r="DJ231" i="1"/>
  <c r="DH231" i="1"/>
  <c r="DF231" i="1"/>
  <c r="DJ230" i="1"/>
  <c r="DH230" i="1"/>
  <c r="DF230" i="1"/>
  <c r="CZ230" i="1"/>
  <c r="CY230" i="1"/>
  <c r="DH229" i="1"/>
  <c r="DF229" i="1"/>
  <c r="DJ228" i="1"/>
  <c r="DH228" i="1"/>
  <c r="DF228" i="1"/>
  <c r="CZ228" i="1"/>
  <c r="DJ227" i="1"/>
  <c r="DH227" i="1"/>
  <c r="DF227" i="1"/>
  <c r="DK226" i="1"/>
  <c r="DH226" i="1"/>
  <c r="DF226" i="1"/>
  <c r="DK225" i="1"/>
  <c r="DH225" i="1"/>
  <c r="DF225" i="1"/>
  <c r="DJ224" i="1"/>
  <c r="DH224" i="1"/>
  <c r="DF224" i="1"/>
  <c r="DJ223" i="1"/>
  <c r="DH223" i="1"/>
  <c r="DF223" i="1"/>
  <c r="DH222" i="1"/>
  <c r="DF222" i="1"/>
  <c r="CZ222" i="1"/>
  <c r="CY222" i="1"/>
  <c r="DJ221" i="1"/>
  <c r="DH221" i="1"/>
  <c r="DF221" i="1"/>
  <c r="CZ221" i="1"/>
  <c r="DK220" i="1"/>
  <c r="DH220" i="1"/>
  <c r="DF220" i="1"/>
  <c r="DH219" i="1"/>
  <c r="DF219" i="1"/>
  <c r="DJ218" i="1"/>
  <c r="DH218" i="1"/>
  <c r="DF218" i="1"/>
  <c r="CY218" i="1"/>
  <c r="DH217" i="1"/>
  <c r="DF217" i="1"/>
  <c r="CZ217" i="1"/>
  <c r="DJ216" i="1"/>
  <c r="DH216" i="1"/>
  <c r="DF216" i="1"/>
  <c r="DJ215" i="1"/>
  <c r="DH215" i="1"/>
  <c r="DF215" i="1"/>
  <c r="DJ214" i="1"/>
  <c r="DH214" i="1"/>
  <c r="DF214" i="1"/>
  <c r="CZ214" i="1"/>
  <c r="CY214" i="1"/>
  <c r="DJ213" i="1"/>
  <c r="DH213" i="1"/>
  <c r="DF213" i="1"/>
  <c r="CZ213" i="1"/>
  <c r="DJ212" i="1"/>
  <c r="DH212" i="1"/>
  <c r="DF212" i="1"/>
  <c r="CZ212" i="1"/>
  <c r="DK211" i="1"/>
  <c r="DH211" i="1"/>
  <c r="DF211" i="1"/>
  <c r="DJ210" i="1"/>
  <c r="DH210" i="1"/>
  <c r="DF210" i="1"/>
  <c r="CZ210" i="1"/>
  <c r="CY210" i="1"/>
  <c r="DH209" i="1"/>
  <c r="DF209" i="1"/>
  <c r="DJ208" i="1"/>
  <c r="DH208" i="1"/>
  <c r="DF208" i="1"/>
  <c r="DH207" i="1"/>
  <c r="DF207" i="1"/>
  <c r="DJ206" i="1"/>
  <c r="DH206" i="1"/>
  <c r="DF206" i="1"/>
  <c r="CZ206" i="1"/>
  <c r="CY206" i="1"/>
  <c r="DH205" i="1"/>
  <c r="DF205" i="1"/>
  <c r="CZ205" i="1"/>
  <c r="DH204" i="1"/>
  <c r="DF204" i="1"/>
  <c r="DJ203" i="1"/>
  <c r="DH203" i="1"/>
  <c r="DF203" i="1"/>
  <c r="CZ203" i="1"/>
  <c r="DH202" i="1"/>
  <c r="DF202" i="1"/>
  <c r="CZ202" i="1"/>
  <c r="DJ201" i="1"/>
  <c r="DH201" i="1"/>
  <c r="DF201" i="1"/>
  <c r="DH200" i="1"/>
  <c r="DF200" i="1"/>
  <c r="DH199" i="1"/>
  <c r="DF199" i="1"/>
  <c r="DJ198" i="1"/>
  <c r="DH198" i="1"/>
  <c r="DF198" i="1"/>
  <c r="CZ198" i="1"/>
  <c r="CY198" i="1"/>
  <c r="DJ197" i="1"/>
  <c r="DH197" i="1"/>
  <c r="DF197" i="1"/>
  <c r="CZ197" i="1"/>
  <c r="CY197" i="1"/>
  <c r="DJ196" i="1"/>
  <c r="DH196" i="1"/>
  <c r="DF196" i="1"/>
  <c r="DJ195" i="1"/>
  <c r="DH195" i="1"/>
  <c r="DF195" i="1"/>
  <c r="DJ194" i="1"/>
  <c r="DH194" i="1"/>
  <c r="DF194" i="1"/>
  <c r="DH193" i="1"/>
  <c r="DF193" i="1"/>
  <c r="DJ192" i="1"/>
  <c r="DH192" i="1"/>
  <c r="DF192" i="1"/>
  <c r="DJ191" i="1"/>
  <c r="DH191" i="1"/>
  <c r="DF191" i="1"/>
  <c r="DJ190" i="1"/>
  <c r="DH190" i="1"/>
  <c r="DF190" i="1"/>
  <c r="CZ190" i="1"/>
  <c r="CY190" i="1"/>
  <c r="DJ189" i="1"/>
  <c r="DH189" i="1"/>
  <c r="DF189" i="1"/>
  <c r="CY189" i="1"/>
  <c r="DJ188" i="1"/>
  <c r="DH188" i="1"/>
  <c r="DF188" i="1"/>
  <c r="DH187" i="1"/>
  <c r="DF187" i="1"/>
  <c r="DK186" i="1"/>
  <c r="DH186" i="1"/>
  <c r="DF186" i="1"/>
  <c r="DK185" i="1"/>
  <c r="DH185" i="1"/>
  <c r="DF185" i="1"/>
  <c r="DJ184" i="1"/>
  <c r="DH184" i="1"/>
  <c r="DF184" i="1"/>
  <c r="DK183" i="1"/>
  <c r="DH183" i="1"/>
  <c r="DF183" i="1"/>
  <c r="DH182" i="1"/>
  <c r="DF182" i="1"/>
  <c r="CZ182" i="1"/>
  <c r="CY182" i="1"/>
  <c r="DJ181" i="1"/>
  <c r="DH181" i="1"/>
  <c r="DF181" i="1"/>
  <c r="DJ180" i="1"/>
  <c r="DH180" i="1"/>
  <c r="DF180" i="1"/>
  <c r="DJ179" i="1"/>
  <c r="DH179" i="1"/>
  <c r="DF179" i="1"/>
  <c r="DH178" i="1"/>
  <c r="DF178" i="1"/>
  <c r="CZ178" i="1"/>
  <c r="CY178" i="1"/>
  <c r="DH177" i="1"/>
  <c r="DF177" i="1"/>
  <c r="DK31" i="1"/>
  <c r="DH31" i="1"/>
  <c r="DF31" i="1"/>
  <c r="DJ176" i="1"/>
  <c r="DH176" i="1"/>
  <c r="DF176" i="1"/>
  <c r="DH175" i="1"/>
  <c r="DF175" i="1"/>
  <c r="CZ175" i="1"/>
  <c r="CY175" i="1"/>
  <c r="DJ174" i="1"/>
  <c r="DH174" i="1"/>
  <c r="DF174" i="1"/>
  <c r="DK173" i="1"/>
  <c r="DH173" i="1"/>
  <c r="DF173" i="1"/>
  <c r="CY173" i="1"/>
  <c r="DH172" i="1"/>
  <c r="DF172" i="1"/>
  <c r="DJ171" i="1"/>
  <c r="DH171" i="1"/>
  <c r="DF171" i="1"/>
  <c r="CZ171" i="1"/>
  <c r="DJ170" i="1"/>
  <c r="DH170" i="1"/>
  <c r="DF170" i="1"/>
  <c r="DH169" i="1"/>
  <c r="DF169" i="1"/>
  <c r="DJ168" i="1"/>
  <c r="DH168" i="1"/>
  <c r="DF168" i="1"/>
  <c r="DH167" i="1"/>
  <c r="DF167" i="1"/>
  <c r="CZ167" i="1"/>
  <c r="CY167" i="1"/>
  <c r="DJ166" i="1"/>
  <c r="DH166" i="1"/>
  <c r="DF166" i="1"/>
  <c r="CY166" i="1"/>
  <c r="DJ165" i="1"/>
  <c r="DH165" i="1"/>
  <c r="DF165" i="1"/>
  <c r="DH164" i="1"/>
  <c r="DF164" i="1"/>
  <c r="DJ163" i="1"/>
  <c r="DH163" i="1"/>
  <c r="DF163" i="1"/>
  <c r="DJ162" i="1"/>
  <c r="DH162" i="1"/>
  <c r="DF162" i="1"/>
  <c r="DH161" i="1"/>
  <c r="DF161" i="1"/>
  <c r="DH160" i="1"/>
  <c r="DF160" i="1"/>
  <c r="DJ159" i="1"/>
  <c r="DH159" i="1"/>
  <c r="DF159" i="1"/>
  <c r="CZ159" i="1"/>
  <c r="CY159" i="1"/>
  <c r="DH158" i="1"/>
  <c r="DF158" i="1"/>
  <c r="CY158" i="1"/>
  <c r="DJ157" i="1"/>
  <c r="DH157" i="1"/>
  <c r="DF157" i="1"/>
  <c r="DJ156" i="1"/>
  <c r="DH156" i="1"/>
  <c r="DF156" i="1"/>
  <c r="CZ156" i="1"/>
  <c r="DH152" i="1"/>
  <c r="DF152" i="1"/>
  <c r="CY152" i="1"/>
  <c r="DH150" i="1"/>
  <c r="DF150" i="1"/>
  <c r="CZ150" i="1"/>
  <c r="DH14" i="1"/>
  <c r="DF14" i="1"/>
  <c r="DH149" i="1"/>
  <c r="DF149" i="1"/>
  <c r="DH148" i="1"/>
  <c r="DF148" i="1"/>
  <c r="CZ148" i="1"/>
  <c r="CY148" i="1"/>
  <c r="DJ147" i="1"/>
  <c r="DH147" i="1"/>
  <c r="DF147" i="1"/>
  <c r="CY147" i="1"/>
  <c r="DH146" i="1"/>
  <c r="DF146" i="1"/>
  <c r="DH144" i="1"/>
  <c r="DF144" i="1"/>
  <c r="DJ143" i="1"/>
  <c r="DH143" i="1"/>
  <c r="DF143" i="1"/>
  <c r="CY143" i="1"/>
  <c r="DH141" i="1"/>
  <c r="DF141" i="1"/>
  <c r="DJ139" i="1"/>
  <c r="DH139" i="1"/>
  <c r="DF139" i="1"/>
  <c r="DH138" i="1"/>
  <c r="DF138" i="1"/>
  <c r="DH137" i="1"/>
  <c r="DF137" i="1"/>
  <c r="CZ137" i="1"/>
  <c r="CY137" i="1"/>
  <c r="DH136" i="1"/>
  <c r="DF136" i="1"/>
  <c r="DJ135" i="1"/>
  <c r="DH135" i="1"/>
  <c r="DF135" i="1"/>
  <c r="DH134" i="1"/>
  <c r="CY134" i="1"/>
  <c r="DH132" i="1"/>
  <c r="DF132" i="1"/>
  <c r="DH131" i="1"/>
  <c r="DF131" i="1"/>
  <c r="DJ129" i="1"/>
  <c r="DH129" i="1"/>
  <c r="DF129" i="1"/>
  <c r="DH13" i="1"/>
  <c r="DF13" i="1"/>
  <c r="DH127" i="1"/>
  <c r="DF127" i="1"/>
  <c r="CZ127" i="1"/>
  <c r="CY127" i="1"/>
  <c r="DH126" i="1"/>
  <c r="DF126" i="1"/>
  <c r="DJ125" i="1"/>
  <c r="DH125" i="1"/>
  <c r="DF125" i="1"/>
  <c r="DH124" i="1"/>
  <c r="DF124" i="1"/>
  <c r="DH122" i="1"/>
  <c r="DF122" i="1"/>
  <c r="CZ122" i="1"/>
  <c r="CY122" i="1"/>
  <c r="DK121" i="1"/>
  <c r="DH121" i="1"/>
  <c r="DF121" i="1"/>
  <c r="DJ120" i="1"/>
  <c r="DH120" i="1"/>
  <c r="DF120" i="1"/>
  <c r="DJ119" i="1"/>
  <c r="DH119" i="1"/>
  <c r="DF119" i="1"/>
  <c r="DJ288" i="1"/>
  <c r="DH288" i="1"/>
  <c r="DF288" i="1"/>
  <c r="CZ288" i="1"/>
  <c r="CY288" i="1"/>
  <c r="DH118" i="1"/>
  <c r="DF118" i="1"/>
  <c r="DH117" i="1"/>
  <c r="DF117" i="1"/>
  <c r="DH116" i="1"/>
  <c r="DF116" i="1"/>
  <c r="DH115" i="1"/>
  <c r="DF115" i="1"/>
  <c r="DH114" i="1"/>
  <c r="DF114" i="1"/>
  <c r="CZ114" i="1"/>
  <c r="DH113" i="1"/>
  <c r="DF113" i="1"/>
  <c r="DH112" i="1"/>
  <c r="DF112" i="1"/>
  <c r="DJ111" i="1"/>
  <c r="DH111" i="1"/>
  <c r="DF111" i="1"/>
  <c r="CZ111" i="1"/>
  <c r="CY111" i="1"/>
  <c r="DH110" i="1"/>
  <c r="DF110" i="1"/>
  <c r="DK109" i="1"/>
  <c r="DH109" i="1"/>
  <c r="DF109" i="1"/>
  <c r="DH108" i="1"/>
  <c r="DF108" i="1"/>
  <c r="DJ107" i="1"/>
  <c r="DH107" i="1"/>
  <c r="DF107" i="1"/>
  <c r="CZ107" i="1"/>
  <c r="CY107" i="1"/>
  <c r="DK106" i="1"/>
  <c r="DH106" i="1"/>
  <c r="DF106" i="1"/>
  <c r="CZ106" i="1"/>
  <c r="DJ104" i="1"/>
  <c r="DH104" i="1"/>
  <c r="DF104" i="1"/>
  <c r="DH103" i="1"/>
  <c r="DF103" i="1"/>
  <c r="DH101" i="1"/>
  <c r="DF101" i="1"/>
  <c r="CZ101" i="1"/>
  <c r="CY101" i="1"/>
  <c r="DH12" i="1"/>
  <c r="DF12" i="1"/>
  <c r="CY12" i="1"/>
  <c r="DH99" i="1"/>
  <c r="DF99" i="1"/>
  <c r="DK98" i="1"/>
  <c r="DH98" i="1"/>
  <c r="DF98" i="1"/>
  <c r="DH97" i="1"/>
  <c r="DF97" i="1"/>
  <c r="CY97" i="1"/>
  <c r="DK72" i="1"/>
  <c r="DH72" i="1"/>
  <c r="DF72" i="1"/>
  <c r="DH96" i="1"/>
  <c r="DF96" i="1"/>
  <c r="DH145" i="1"/>
  <c r="DF145" i="1"/>
  <c r="DJ11" i="1"/>
  <c r="DH11" i="1"/>
  <c r="DF11" i="1"/>
  <c r="CZ11" i="1"/>
  <c r="CY11" i="1"/>
  <c r="DH95" i="1"/>
  <c r="DF95" i="1"/>
  <c r="CY95" i="1"/>
  <c r="DJ93" i="1"/>
  <c r="DH93" i="1"/>
  <c r="DF93" i="1"/>
  <c r="DJ92" i="1"/>
  <c r="DH92" i="1"/>
  <c r="DF92" i="1"/>
  <c r="DJ91" i="1"/>
  <c r="DH91" i="1"/>
  <c r="DF91" i="1"/>
  <c r="DJ90" i="1"/>
  <c r="DH90" i="1"/>
  <c r="DF90" i="1"/>
  <c r="CY90" i="1"/>
  <c r="DH89" i="1"/>
  <c r="DF89" i="1"/>
  <c r="DH87" i="1"/>
  <c r="DF87" i="1"/>
  <c r="DH86" i="1"/>
  <c r="DF86" i="1"/>
  <c r="CZ86" i="1"/>
  <c r="CY86" i="1"/>
  <c r="DH8" i="1"/>
  <c r="DF8" i="1"/>
  <c r="CY8" i="1"/>
  <c r="DH85" i="1"/>
  <c r="DF85" i="1"/>
  <c r="DK84" i="1"/>
  <c r="DH84" i="1"/>
  <c r="DF84" i="1"/>
  <c r="DH82" i="1"/>
  <c r="DF82" i="1"/>
  <c r="CZ82" i="1"/>
  <c r="CY82" i="1"/>
  <c r="DJ80" i="1"/>
  <c r="DH80" i="1"/>
  <c r="DF80" i="1"/>
  <c r="CY80" i="1"/>
  <c r="DH79" i="1"/>
  <c r="DF79" i="1"/>
  <c r="DH78" i="1"/>
  <c r="DF78" i="1"/>
  <c r="DH77" i="1"/>
  <c r="DF77" i="1"/>
  <c r="CZ77" i="1"/>
  <c r="CY77" i="1"/>
  <c r="DH76" i="1"/>
  <c r="DF76" i="1"/>
  <c r="CY76" i="1"/>
  <c r="DJ75" i="1"/>
  <c r="DH75" i="1"/>
  <c r="DF75" i="1"/>
  <c r="DH9" i="1"/>
  <c r="DF9" i="1"/>
  <c r="DH74" i="1"/>
  <c r="DF74" i="1"/>
  <c r="CZ74" i="1"/>
  <c r="CY74" i="1"/>
  <c r="DJ73" i="1"/>
  <c r="DH73" i="1"/>
  <c r="DF73" i="1"/>
  <c r="DH71" i="1"/>
  <c r="DF71" i="1"/>
  <c r="DK70" i="1"/>
  <c r="DH70" i="1"/>
  <c r="DF70" i="1"/>
  <c r="DH69" i="1"/>
  <c r="DF69" i="1"/>
  <c r="CZ69" i="1"/>
  <c r="CY69" i="1"/>
  <c r="DH68" i="1"/>
  <c r="DF68" i="1"/>
  <c r="DH67" i="1"/>
  <c r="DF67" i="1"/>
  <c r="DH66" i="1"/>
  <c r="DF66" i="1"/>
  <c r="DK65" i="1"/>
  <c r="DH65" i="1"/>
  <c r="DF65" i="1"/>
  <c r="CZ65" i="1"/>
  <c r="CY65" i="1"/>
  <c r="DH48" i="1"/>
  <c r="DF48" i="1"/>
  <c r="CY48" i="1"/>
  <c r="DJ63" i="1"/>
  <c r="DH63" i="1"/>
  <c r="DF63" i="1"/>
  <c r="DJ62" i="1"/>
  <c r="DH62" i="1"/>
  <c r="DF62" i="1"/>
  <c r="DK60" i="1"/>
  <c r="DH60" i="1"/>
  <c r="DF60" i="1"/>
  <c r="CZ60" i="1"/>
  <c r="CY60" i="1"/>
  <c r="DH59" i="1"/>
  <c r="DF59" i="1"/>
  <c r="CY59" i="1"/>
  <c r="DH58" i="1"/>
  <c r="DF58" i="1"/>
  <c r="CY58" i="1"/>
  <c r="DJ54" i="1"/>
  <c r="DH54" i="1"/>
  <c r="DF54" i="1"/>
  <c r="DH52" i="1"/>
  <c r="DF52" i="1"/>
  <c r="CZ52" i="1"/>
  <c r="CY52" i="1"/>
  <c r="DH51" i="1"/>
  <c r="DF51" i="1"/>
  <c r="CZ51" i="1"/>
  <c r="CY51" i="1"/>
  <c r="DH50" i="1"/>
  <c r="DF50" i="1"/>
  <c r="DH123" i="1"/>
  <c r="DF123" i="1"/>
  <c r="DH6" i="1"/>
  <c r="DF6" i="1"/>
  <c r="CZ6" i="1"/>
  <c r="CY6" i="1"/>
  <c r="DH47" i="1"/>
  <c r="DF47" i="1"/>
  <c r="CZ47" i="1"/>
  <c r="DH46" i="1"/>
  <c r="DF46" i="1"/>
  <c r="DJ44" i="1"/>
  <c r="DH44" i="1"/>
  <c r="DF44" i="1"/>
  <c r="CZ44" i="1"/>
  <c r="DH42" i="1"/>
  <c r="DF42" i="1"/>
  <c r="CZ42" i="1"/>
  <c r="CY42" i="1"/>
  <c r="DH41" i="1"/>
  <c r="DF41" i="1"/>
  <c r="CZ41" i="1"/>
  <c r="CY41" i="1"/>
  <c r="DK40" i="1"/>
  <c r="DH40" i="1"/>
  <c r="DF40" i="1"/>
  <c r="DH39" i="1"/>
  <c r="DF39" i="1"/>
  <c r="DH38" i="1"/>
  <c r="DF38" i="1"/>
  <c r="CZ38" i="1"/>
  <c r="CY38" i="1"/>
  <c r="DH37" i="1"/>
  <c r="DF37" i="1"/>
  <c r="DH36" i="1"/>
  <c r="DF36" i="1"/>
  <c r="DH35" i="1"/>
  <c r="DF35" i="1"/>
  <c r="DH34" i="1"/>
  <c r="DF34" i="1"/>
  <c r="CZ34" i="1"/>
  <c r="CY34" i="1"/>
  <c r="DJ33" i="1"/>
  <c r="DH33" i="1"/>
  <c r="DF33" i="1"/>
  <c r="CZ33" i="1"/>
  <c r="CY33" i="1"/>
  <c r="DH32" i="1"/>
  <c r="DF32" i="1"/>
  <c r="DH83" i="1"/>
  <c r="DF83" i="1"/>
  <c r="DH30" i="1"/>
  <c r="DF30" i="1"/>
  <c r="CZ30" i="1"/>
  <c r="CY30" i="1"/>
  <c r="DH28" i="1"/>
  <c r="DF28" i="1"/>
  <c r="CY28" i="1"/>
  <c r="DH27" i="1"/>
  <c r="DF27" i="1"/>
  <c r="DK26" i="1"/>
  <c r="DH26" i="1"/>
  <c r="DF26" i="1"/>
  <c r="DK25" i="1"/>
  <c r="DH25" i="1"/>
  <c r="DF25" i="1"/>
  <c r="CZ25" i="1"/>
  <c r="CY25" i="1"/>
  <c r="DJ24" i="1"/>
  <c r="DH24" i="1"/>
  <c r="DF24" i="1"/>
  <c r="DH23" i="1"/>
  <c r="DF23" i="1"/>
  <c r="DK142" i="1"/>
  <c r="DH142" i="1"/>
  <c r="DF142" i="1"/>
  <c r="DH22" i="1"/>
  <c r="DF22" i="1"/>
  <c r="CZ22" i="1"/>
  <c r="CY22" i="1"/>
  <c r="DH21" i="1"/>
  <c r="DF21" i="1"/>
  <c r="CZ21" i="1"/>
  <c r="CY21" i="1"/>
  <c r="DH20" i="1"/>
  <c r="DF20" i="1"/>
  <c r="DH19" i="1"/>
  <c r="DF19" i="1"/>
  <c r="CZ19" i="1"/>
  <c r="DH18" i="1"/>
  <c r="DF18" i="1"/>
  <c r="CZ18" i="1"/>
  <c r="DH17" i="1"/>
  <c r="DF17" i="1"/>
  <c r="DH16" i="1"/>
  <c r="DF16" i="1"/>
  <c r="DJ15" i="1"/>
  <c r="DH15" i="1"/>
  <c r="DF15" i="1"/>
  <c r="DH88" i="1"/>
  <c r="DF88" i="1"/>
  <c r="CZ88" i="1"/>
  <c r="CY88" i="1"/>
  <c r="DH81" i="1"/>
  <c r="DF81" i="1"/>
  <c r="CZ81" i="1"/>
  <c r="CY81" i="1"/>
  <c r="DH7" i="1"/>
  <c r="DF7" i="1"/>
  <c r="DH64" i="1"/>
  <c r="DF64" i="1"/>
  <c r="DH43" i="1"/>
  <c r="DF43" i="1"/>
  <c r="CZ43" i="1"/>
  <c r="CQ334" i="1"/>
  <c r="DQ334" i="1" s="1"/>
  <c r="CO334" i="1"/>
  <c r="CR334" i="1" s="1"/>
  <c r="CS334" i="1" s="1"/>
  <c r="CQ333" i="1"/>
  <c r="DQ333" i="1" s="1"/>
  <c r="CO333" i="1"/>
  <c r="CR333" i="1" s="1"/>
  <c r="CS333" i="1" s="1"/>
  <c r="CQ332" i="1"/>
  <c r="CO332" i="1"/>
  <c r="CR332" i="1" s="1"/>
  <c r="CS332" i="1" s="1"/>
  <c r="CQ331" i="1"/>
  <c r="DQ331" i="1" s="1"/>
  <c r="CO331" i="1"/>
  <c r="CR331" i="1" s="1"/>
  <c r="CS331" i="1" s="1"/>
  <c r="CQ330" i="1"/>
  <c r="CO330" i="1"/>
  <c r="CR330" i="1" s="1"/>
  <c r="CS330" i="1" s="1"/>
  <c r="CQ329" i="1"/>
  <c r="DQ329" i="1" s="1"/>
  <c r="CO329" i="1"/>
  <c r="CR329" i="1" s="1"/>
  <c r="CS329" i="1" s="1"/>
  <c r="CQ328" i="1"/>
  <c r="DQ328" i="1" s="1"/>
  <c r="CO328" i="1"/>
  <c r="CR328" i="1" s="1"/>
  <c r="CS328" i="1" s="1"/>
  <c r="CQ327" i="1"/>
  <c r="CO327" i="1"/>
  <c r="CR327" i="1" s="1"/>
  <c r="CS327" i="1" s="1"/>
  <c r="CQ326" i="1"/>
  <c r="CO326" i="1"/>
  <c r="CR326" i="1" s="1"/>
  <c r="CS326" i="1" s="1"/>
  <c r="CQ325" i="1"/>
  <c r="CO325" i="1"/>
  <c r="CR325" i="1" s="1"/>
  <c r="CS325" i="1" s="1"/>
  <c r="CQ324" i="1"/>
  <c r="CO324" i="1"/>
  <c r="CR324" i="1" s="1"/>
  <c r="CS324" i="1" s="1"/>
  <c r="CQ323" i="1"/>
  <c r="DQ323" i="1" s="1"/>
  <c r="CO323" i="1"/>
  <c r="CR323" i="1" s="1"/>
  <c r="CS323" i="1" s="1"/>
  <c r="CQ322" i="1"/>
  <c r="DQ322" i="1" s="1"/>
  <c r="CO322" i="1"/>
  <c r="CR322" i="1" s="1"/>
  <c r="CS322" i="1" s="1"/>
  <c r="CQ321" i="1"/>
  <c r="CO321" i="1"/>
  <c r="CR321" i="1" s="1"/>
  <c r="CS321" i="1" s="1"/>
  <c r="CQ320" i="1"/>
  <c r="CO320" i="1"/>
  <c r="CR320" i="1" s="1"/>
  <c r="CS320" i="1" s="1"/>
  <c r="CQ319" i="1"/>
  <c r="CO319" i="1"/>
  <c r="CR319" i="1" s="1"/>
  <c r="CS319" i="1" s="1"/>
  <c r="CQ318" i="1"/>
  <c r="DQ318" i="1" s="1"/>
  <c r="CO318" i="1"/>
  <c r="CR318" i="1" s="1"/>
  <c r="CS318" i="1" s="1"/>
  <c r="CQ317" i="1"/>
  <c r="CO317" i="1"/>
  <c r="CR317" i="1" s="1"/>
  <c r="CS317" i="1" s="1"/>
  <c r="CQ316" i="1"/>
  <c r="DQ316" i="1" s="1"/>
  <c r="CO316" i="1"/>
  <c r="CR316" i="1" s="1"/>
  <c r="CS316" i="1" s="1"/>
  <c r="CQ315" i="1"/>
  <c r="CO315" i="1"/>
  <c r="CR315" i="1" s="1"/>
  <c r="CS315" i="1" s="1"/>
  <c r="CQ140" i="1"/>
  <c r="CO140" i="1"/>
  <c r="CR140" i="1" s="1"/>
  <c r="CS140" i="1" s="1"/>
  <c r="CQ314" i="1"/>
  <c r="DQ314" i="1" s="1"/>
  <c r="CO314" i="1"/>
  <c r="CR314" i="1" s="1"/>
  <c r="CS314" i="1" s="1"/>
  <c r="CQ313" i="1"/>
  <c r="CO313" i="1"/>
  <c r="CR313" i="1" s="1"/>
  <c r="CS313" i="1" s="1"/>
  <c r="CQ312" i="1"/>
  <c r="CO312" i="1"/>
  <c r="CR312" i="1" s="1"/>
  <c r="CS312" i="1" s="1"/>
  <c r="CQ311" i="1"/>
  <c r="DQ311" i="1" s="1"/>
  <c r="CO311" i="1"/>
  <c r="CR311" i="1" s="1"/>
  <c r="CS311" i="1" s="1"/>
  <c r="CQ310" i="1"/>
  <c r="CO310" i="1"/>
  <c r="CR310" i="1" s="1"/>
  <c r="CS310" i="1" s="1"/>
  <c r="CQ309" i="1"/>
  <c r="CO309" i="1"/>
  <c r="CR309" i="1" s="1"/>
  <c r="CS309" i="1" s="1"/>
  <c r="CQ308" i="1"/>
  <c r="CO308" i="1"/>
  <c r="CR308" i="1" s="1"/>
  <c r="CS308" i="1" s="1"/>
  <c r="CQ307" i="1"/>
  <c r="DQ307" i="1" s="1"/>
  <c r="CO307" i="1"/>
  <c r="CR307" i="1" s="1"/>
  <c r="CS307" i="1" s="1"/>
  <c r="CQ306" i="1"/>
  <c r="DQ306" i="1" s="1"/>
  <c r="CO306" i="1"/>
  <c r="CR306" i="1" s="1"/>
  <c r="CS306" i="1" s="1"/>
  <c r="CQ305" i="1"/>
  <c r="CO305" i="1"/>
  <c r="CR305" i="1" s="1"/>
  <c r="CS305" i="1" s="1"/>
  <c r="CQ304" i="1"/>
  <c r="DQ304" i="1" s="1"/>
  <c r="CO304" i="1"/>
  <c r="CR304" i="1" s="1"/>
  <c r="CS304" i="1" s="1"/>
  <c r="CQ303" i="1"/>
  <c r="DQ303" i="1" s="1"/>
  <c r="CO303" i="1"/>
  <c r="CR303" i="1" s="1"/>
  <c r="CS303" i="1" s="1"/>
  <c r="CQ302" i="1"/>
  <c r="DQ302" i="1" s="1"/>
  <c r="CO302" i="1"/>
  <c r="CR302" i="1" s="1"/>
  <c r="CS302" i="1" s="1"/>
  <c r="CQ301" i="1"/>
  <c r="DQ301" i="1" s="1"/>
  <c r="CO301" i="1"/>
  <c r="CR301" i="1" s="1"/>
  <c r="CS301" i="1" s="1"/>
  <c r="CQ300" i="1"/>
  <c r="DQ300" i="1" s="1"/>
  <c r="CO300" i="1"/>
  <c r="CR300" i="1" s="1"/>
  <c r="CS300" i="1" s="1"/>
  <c r="CQ299" i="1"/>
  <c r="CO299" i="1"/>
  <c r="CR299" i="1" s="1"/>
  <c r="CQ298" i="1"/>
  <c r="DQ298" i="1" s="1"/>
  <c r="CO298" i="1"/>
  <c r="CR298" i="1" s="1"/>
  <c r="CS298" i="1" s="1"/>
  <c r="CQ297" i="1"/>
  <c r="CO297" i="1"/>
  <c r="CR297" i="1" s="1"/>
  <c r="CS297" i="1" s="1"/>
  <c r="CQ296" i="1"/>
  <c r="CO296" i="1"/>
  <c r="CR296" i="1" s="1"/>
  <c r="CS296" i="1" s="1"/>
  <c r="CQ295" i="1"/>
  <c r="CO295" i="1"/>
  <c r="CR295" i="1" s="1"/>
  <c r="CS295" i="1" s="1"/>
  <c r="CQ294" i="1"/>
  <c r="DQ294" i="1" s="1"/>
  <c r="CO294" i="1"/>
  <c r="CR294" i="1" s="1"/>
  <c r="CS294" i="1" s="1"/>
  <c r="CQ293" i="1"/>
  <c r="CO293" i="1"/>
  <c r="CR293" i="1" s="1"/>
  <c r="CS293" i="1" s="1"/>
  <c r="CQ292" i="1"/>
  <c r="CO292" i="1"/>
  <c r="CR292" i="1" s="1"/>
  <c r="CS292" i="1" s="1"/>
  <c r="CQ291" i="1"/>
  <c r="CO291" i="1"/>
  <c r="CR291" i="1" s="1"/>
  <c r="CS291" i="1" s="1"/>
  <c r="CQ290" i="1"/>
  <c r="CO290" i="1"/>
  <c r="CR290" i="1" s="1"/>
  <c r="CS290" i="1" s="1"/>
  <c r="CQ289" i="1"/>
  <c r="CO289" i="1"/>
  <c r="CR289" i="1" s="1"/>
  <c r="CS289" i="1" s="1"/>
  <c r="CQ287" i="1"/>
  <c r="CO287" i="1"/>
  <c r="CR287" i="1" s="1"/>
  <c r="CS287" i="1" s="1"/>
  <c r="CQ286" i="1"/>
  <c r="DQ286" i="1" s="1"/>
  <c r="CO286" i="1"/>
  <c r="CR286" i="1" s="1"/>
  <c r="CS286" i="1" s="1"/>
  <c r="CQ285" i="1"/>
  <c r="DQ285" i="1" s="1"/>
  <c r="CO285" i="1"/>
  <c r="CR285" i="1" s="1"/>
  <c r="CS285" i="1" s="1"/>
  <c r="CQ284" i="1"/>
  <c r="CO284" i="1"/>
  <c r="CR284" i="1" s="1"/>
  <c r="CS284" i="1" s="1"/>
  <c r="CQ283" i="1"/>
  <c r="DQ283" i="1" s="1"/>
  <c r="CO283" i="1"/>
  <c r="CR283" i="1" s="1"/>
  <c r="CS283" i="1" s="1"/>
  <c r="CQ282" i="1"/>
  <c r="CO282" i="1"/>
  <c r="CR282" i="1" s="1"/>
  <c r="CS282" i="1" s="1"/>
  <c r="CQ281" i="1"/>
  <c r="DQ281" i="1" s="1"/>
  <c r="CO281" i="1"/>
  <c r="CR281" i="1" s="1"/>
  <c r="CS281" i="1" s="1"/>
  <c r="CQ280" i="1"/>
  <c r="DQ280" i="1" s="1"/>
  <c r="CO280" i="1"/>
  <c r="CR280" i="1" s="1"/>
  <c r="CS280" i="1" s="1"/>
  <c r="CQ279" i="1"/>
  <c r="CO279" i="1"/>
  <c r="CR279" i="1" s="1"/>
  <c r="CS279" i="1" s="1"/>
  <c r="CQ278" i="1"/>
  <c r="DQ278" i="1" s="1"/>
  <c r="CO278" i="1"/>
  <c r="CR278" i="1" s="1"/>
  <c r="CS278" i="1" s="1"/>
  <c r="CQ277" i="1"/>
  <c r="DQ277" i="1" s="1"/>
  <c r="CO277" i="1"/>
  <c r="CR277" i="1" s="1"/>
  <c r="CS277" i="1" s="1"/>
  <c r="CQ276" i="1"/>
  <c r="DQ276" i="1" s="1"/>
  <c r="CO276" i="1"/>
  <c r="CR276" i="1" s="1"/>
  <c r="CS276" i="1" s="1"/>
  <c r="CQ275" i="1"/>
  <c r="DQ275" i="1" s="1"/>
  <c r="CO275" i="1"/>
  <c r="CR275" i="1" s="1"/>
  <c r="CS275" i="1" s="1"/>
  <c r="CQ274" i="1"/>
  <c r="DQ274" i="1" s="1"/>
  <c r="CO274" i="1"/>
  <c r="CR274" i="1" s="1"/>
  <c r="CS274" i="1" s="1"/>
  <c r="CQ273" i="1"/>
  <c r="CO273" i="1"/>
  <c r="CR273" i="1" s="1"/>
  <c r="CS273" i="1" s="1"/>
  <c r="CQ272" i="1"/>
  <c r="CO272" i="1"/>
  <c r="CR272" i="1" s="1"/>
  <c r="CS272" i="1" s="1"/>
  <c r="CQ271" i="1"/>
  <c r="CO271" i="1"/>
  <c r="CR271" i="1" s="1"/>
  <c r="CS271" i="1" s="1"/>
  <c r="CQ270" i="1"/>
  <c r="DQ270" i="1" s="1"/>
  <c r="CO270" i="1"/>
  <c r="CR270" i="1" s="1"/>
  <c r="CS270" i="1" s="1"/>
  <c r="CQ269" i="1"/>
  <c r="DQ269" i="1" s="1"/>
  <c r="CO269" i="1"/>
  <c r="CR269" i="1" s="1"/>
  <c r="CS269" i="1" s="1"/>
  <c r="CQ268" i="1"/>
  <c r="DQ268" i="1" s="1"/>
  <c r="CO268" i="1"/>
  <c r="CR268" i="1" s="1"/>
  <c r="CS268" i="1" s="1"/>
  <c r="CQ267" i="1"/>
  <c r="CO267" i="1"/>
  <c r="CR267" i="1" s="1"/>
  <c r="CS267" i="1" s="1"/>
  <c r="CQ266" i="1"/>
  <c r="DQ266" i="1" s="1"/>
  <c r="CO266" i="1"/>
  <c r="CR266" i="1" s="1"/>
  <c r="CS266" i="1" s="1"/>
  <c r="CQ265" i="1"/>
  <c r="DQ265" i="1" s="1"/>
  <c r="CO265" i="1"/>
  <c r="CR265" i="1" s="1"/>
  <c r="CS265" i="1" s="1"/>
  <c r="CQ264" i="1"/>
  <c r="CO264" i="1"/>
  <c r="CR264" i="1" s="1"/>
  <c r="CS264" i="1" s="1"/>
  <c r="CQ263" i="1"/>
  <c r="CO263" i="1"/>
  <c r="CR263" i="1" s="1"/>
  <c r="CS263" i="1" s="1"/>
  <c r="CQ262" i="1"/>
  <c r="DQ262" i="1" s="1"/>
  <c r="CO262" i="1"/>
  <c r="CR262" i="1" s="1"/>
  <c r="CS262" i="1" s="1"/>
  <c r="CQ261" i="1"/>
  <c r="CO261" i="1"/>
  <c r="CR261" i="1" s="1"/>
  <c r="CS261" i="1" s="1"/>
  <c r="CQ260" i="1"/>
  <c r="CO260" i="1"/>
  <c r="CR260" i="1" s="1"/>
  <c r="CS260" i="1" s="1"/>
  <c r="CQ259" i="1"/>
  <c r="DQ259" i="1" s="1"/>
  <c r="CO259" i="1"/>
  <c r="CR259" i="1" s="1"/>
  <c r="CS259" i="1" s="1"/>
  <c r="CQ258" i="1"/>
  <c r="DQ258" i="1" s="1"/>
  <c r="CO258" i="1"/>
  <c r="CR258" i="1" s="1"/>
  <c r="CS258" i="1" s="1"/>
  <c r="CQ257" i="1"/>
  <c r="DQ257" i="1" s="1"/>
  <c r="CO257" i="1"/>
  <c r="CR257" i="1" s="1"/>
  <c r="CS257" i="1" s="1"/>
  <c r="CQ256" i="1"/>
  <c r="DQ256" i="1" s="1"/>
  <c r="CO256" i="1"/>
  <c r="CR256" i="1" s="1"/>
  <c r="CS256" i="1" s="1"/>
  <c r="CQ255" i="1"/>
  <c r="DQ255" i="1" s="1"/>
  <c r="CO255" i="1"/>
  <c r="CR255" i="1" s="1"/>
  <c r="CS255" i="1" s="1"/>
  <c r="CQ254" i="1"/>
  <c r="DQ254" i="1" s="1"/>
  <c r="CO254" i="1"/>
  <c r="CR254" i="1" s="1"/>
  <c r="CS254" i="1" s="1"/>
  <c r="CQ253" i="1"/>
  <c r="DQ253" i="1" s="1"/>
  <c r="CO253" i="1"/>
  <c r="CR253" i="1" s="1"/>
  <c r="CQ252" i="1"/>
  <c r="CO252" i="1"/>
  <c r="CR252" i="1" s="1"/>
  <c r="CS252" i="1" s="1"/>
  <c r="CQ251" i="1"/>
  <c r="DQ251" i="1" s="1"/>
  <c r="CO251" i="1"/>
  <c r="CR251" i="1" s="1"/>
  <c r="CS251" i="1" s="1"/>
  <c r="CQ250" i="1"/>
  <c r="DQ250" i="1" s="1"/>
  <c r="CO250" i="1"/>
  <c r="CR250" i="1" s="1"/>
  <c r="CS250" i="1" s="1"/>
  <c r="CQ249" i="1"/>
  <c r="CO249" i="1"/>
  <c r="CR249" i="1" s="1"/>
  <c r="CS249" i="1" s="1"/>
  <c r="CQ248" i="1"/>
  <c r="DQ248" i="1" s="1"/>
  <c r="CO248" i="1"/>
  <c r="CR248" i="1" s="1"/>
  <c r="CS248" i="1" s="1"/>
  <c r="CQ247" i="1"/>
  <c r="CO247" i="1"/>
  <c r="CR247" i="1" s="1"/>
  <c r="CS247" i="1" s="1"/>
  <c r="CQ246" i="1"/>
  <c r="DQ246" i="1" s="1"/>
  <c r="CO246" i="1"/>
  <c r="CR246" i="1" s="1"/>
  <c r="CS246" i="1" s="1"/>
  <c r="CQ245" i="1"/>
  <c r="DQ245" i="1" s="1"/>
  <c r="CO245" i="1"/>
  <c r="CR245" i="1" s="1"/>
  <c r="CS245" i="1" s="1"/>
  <c r="CQ244" i="1"/>
  <c r="DQ244" i="1" s="1"/>
  <c r="CO244" i="1"/>
  <c r="CR244" i="1" s="1"/>
  <c r="CS244" i="1" s="1"/>
  <c r="CQ243" i="1"/>
  <c r="DQ243" i="1" s="1"/>
  <c r="CO243" i="1"/>
  <c r="CR243" i="1" s="1"/>
  <c r="CS243" i="1" s="1"/>
  <c r="CQ242" i="1"/>
  <c r="CO242" i="1"/>
  <c r="CR242" i="1" s="1"/>
  <c r="CS242" i="1" s="1"/>
  <c r="CQ241" i="1"/>
  <c r="CO241" i="1"/>
  <c r="CR241" i="1" s="1"/>
  <c r="CS241" i="1" s="1"/>
  <c r="CQ240" i="1"/>
  <c r="DQ240" i="1" s="1"/>
  <c r="CO240" i="1"/>
  <c r="CR240" i="1" s="1"/>
  <c r="CS240" i="1" s="1"/>
  <c r="CQ239" i="1"/>
  <c r="CO239" i="1"/>
  <c r="CR239" i="1" s="1"/>
  <c r="CS239" i="1" s="1"/>
  <c r="CQ238" i="1"/>
  <c r="DQ238" i="1" s="1"/>
  <c r="CO238" i="1"/>
  <c r="CR238" i="1" s="1"/>
  <c r="CS238" i="1" s="1"/>
  <c r="CQ237" i="1"/>
  <c r="CO237" i="1"/>
  <c r="CR237" i="1" s="1"/>
  <c r="CS237" i="1" s="1"/>
  <c r="CQ236" i="1"/>
  <c r="CO236" i="1"/>
  <c r="CR236" i="1" s="1"/>
  <c r="CS236" i="1" s="1"/>
  <c r="CQ235" i="1"/>
  <c r="CO235" i="1"/>
  <c r="CR235" i="1" s="1"/>
  <c r="CS235" i="1" s="1"/>
  <c r="CQ234" i="1"/>
  <c r="DQ234" i="1" s="1"/>
  <c r="CO234" i="1"/>
  <c r="CR234" i="1" s="1"/>
  <c r="CS234" i="1" s="1"/>
  <c r="CQ233" i="1"/>
  <c r="DQ233" i="1" s="1"/>
  <c r="CO233" i="1"/>
  <c r="CR233" i="1" s="1"/>
  <c r="CS233" i="1" s="1"/>
  <c r="CQ232" i="1"/>
  <c r="CO232" i="1"/>
  <c r="CR232" i="1" s="1"/>
  <c r="CS232" i="1" s="1"/>
  <c r="CQ231" i="1"/>
  <c r="CO231" i="1"/>
  <c r="CR231" i="1" s="1"/>
  <c r="CS231" i="1" s="1"/>
  <c r="CQ230" i="1"/>
  <c r="DQ230" i="1" s="1"/>
  <c r="CO230" i="1"/>
  <c r="CR230" i="1" s="1"/>
  <c r="CS230" i="1" s="1"/>
  <c r="CQ229" i="1"/>
  <c r="CO229" i="1"/>
  <c r="CR229" i="1" s="1"/>
  <c r="CS229" i="1" s="1"/>
  <c r="CQ228" i="1"/>
  <c r="DQ228" i="1" s="1"/>
  <c r="CO228" i="1"/>
  <c r="CR228" i="1" s="1"/>
  <c r="CS228" i="1" s="1"/>
  <c r="CQ227" i="1"/>
  <c r="DQ227" i="1" s="1"/>
  <c r="CO227" i="1"/>
  <c r="CR227" i="1" s="1"/>
  <c r="CS227" i="1" s="1"/>
  <c r="CQ226" i="1"/>
  <c r="CO226" i="1"/>
  <c r="CR226" i="1" s="1"/>
  <c r="CS226" i="1" s="1"/>
  <c r="CQ225" i="1"/>
  <c r="CO225" i="1"/>
  <c r="CR225" i="1" s="1"/>
  <c r="CQ224" i="1"/>
  <c r="DQ224" i="1" s="1"/>
  <c r="CO224" i="1"/>
  <c r="CR224" i="1" s="1"/>
  <c r="CQ223" i="1"/>
  <c r="DQ223" i="1" s="1"/>
  <c r="CO223" i="1"/>
  <c r="CR223" i="1" s="1"/>
  <c r="CS223" i="1" s="1"/>
  <c r="CQ222" i="1"/>
  <c r="CO222" i="1"/>
  <c r="CR222" i="1" s="1"/>
  <c r="CS222" i="1" s="1"/>
  <c r="CQ221" i="1"/>
  <c r="DQ221" i="1" s="1"/>
  <c r="CO221" i="1"/>
  <c r="CR221" i="1" s="1"/>
  <c r="CQ220" i="1"/>
  <c r="CO220" i="1"/>
  <c r="CR220" i="1" s="1"/>
  <c r="CS220" i="1" s="1"/>
  <c r="CQ219" i="1"/>
  <c r="CO219" i="1"/>
  <c r="CR219" i="1" s="1"/>
  <c r="CS219" i="1" s="1"/>
  <c r="CQ218" i="1"/>
  <c r="DQ218" i="1" s="1"/>
  <c r="CO218" i="1"/>
  <c r="CR218" i="1" s="1"/>
  <c r="CS218" i="1" s="1"/>
  <c r="CQ217" i="1"/>
  <c r="CO217" i="1"/>
  <c r="CR217" i="1" s="1"/>
  <c r="CS217" i="1" s="1"/>
  <c r="CQ216" i="1"/>
  <c r="DQ216" i="1" s="1"/>
  <c r="CO216" i="1"/>
  <c r="CR216" i="1" s="1"/>
  <c r="CS216" i="1" s="1"/>
  <c r="CQ215" i="1"/>
  <c r="DQ215" i="1" s="1"/>
  <c r="CO215" i="1"/>
  <c r="CR215" i="1" s="1"/>
  <c r="CS215" i="1" s="1"/>
  <c r="CQ214" i="1"/>
  <c r="DQ214" i="1" s="1"/>
  <c r="CO214" i="1"/>
  <c r="CR214" i="1" s="1"/>
  <c r="CS214" i="1" s="1"/>
  <c r="CQ213" i="1"/>
  <c r="DQ213" i="1" s="1"/>
  <c r="CO213" i="1"/>
  <c r="CR213" i="1" s="1"/>
  <c r="CS213" i="1" s="1"/>
  <c r="CQ212" i="1"/>
  <c r="CO212" i="1"/>
  <c r="CR212" i="1" s="1"/>
  <c r="CS212" i="1" s="1"/>
  <c r="CQ211" i="1"/>
  <c r="CO211" i="1"/>
  <c r="CR211" i="1" s="1"/>
  <c r="CS211" i="1" s="1"/>
  <c r="CQ210" i="1"/>
  <c r="DQ210" i="1" s="1"/>
  <c r="CO210" i="1"/>
  <c r="CR210" i="1" s="1"/>
  <c r="CS210" i="1" s="1"/>
  <c r="CQ209" i="1"/>
  <c r="CO209" i="1"/>
  <c r="CR209" i="1" s="1"/>
  <c r="CQ208" i="1"/>
  <c r="DQ208" i="1" s="1"/>
  <c r="CO208" i="1"/>
  <c r="CR208" i="1" s="1"/>
  <c r="CS208" i="1" s="1"/>
  <c r="CQ207" i="1"/>
  <c r="CO207" i="1"/>
  <c r="CR207" i="1" s="1"/>
  <c r="CS207" i="1" s="1"/>
  <c r="CQ206" i="1"/>
  <c r="DQ206" i="1" s="1"/>
  <c r="CO206" i="1"/>
  <c r="CR206" i="1" s="1"/>
  <c r="CS206" i="1" s="1"/>
  <c r="CQ205" i="1"/>
  <c r="CO205" i="1"/>
  <c r="CR205" i="1" s="1"/>
  <c r="CS205" i="1" s="1"/>
  <c r="CQ204" i="1"/>
  <c r="CO204" i="1"/>
  <c r="CR204" i="1" s="1"/>
  <c r="CS204" i="1" s="1"/>
  <c r="CQ203" i="1"/>
  <c r="DQ203" i="1" s="1"/>
  <c r="CO203" i="1"/>
  <c r="CR203" i="1" s="1"/>
  <c r="CS203" i="1" s="1"/>
  <c r="CQ202" i="1"/>
  <c r="CO202" i="1"/>
  <c r="CR202" i="1" s="1"/>
  <c r="CS202" i="1" s="1"/>
  <c r="CQ201" i="1"/>
  <c r="DQ201" i="1" s="1"/>
  <c r="CO201" i="1"/>
  <c r="CR201" i="1" s="1"/>
  <c r="CQ200" i="1"/>
  <c r="CO200" i="1"/>
  <c r="CR200" i="1" s="1"/>
  <c r="CS200" i="1" s="1"/>
  <c r="CQ199" i="1"/>
  <c r="CO199" i="1"/>
  <c r="CR199" i="1" s="1"/>
  <c r="CS199" i="1" s="1"/>
  <c r="CQ198" i="1"/>
  <c r="DQ198" i="1" s="1"/>
  <c r="CO198" i="1"/>
  <c r="CR198" i="1" s="1"/>
  <c r="CS198" i="1" s="1"/>
  <c r="CQ197" i="1"/>
  <c r="DQ197" i="1" s="1"/>
  <c r="CO197" i="1"/>
  <c r="CR197" i="1" s="1"/>
  <c r="CS197" i="1" s="1"/>
  <c r="CQ196" i="1"/>
  <c r="DQ196" i="1" s="1"/>
  <c r="CO196" i="1"/>
  <c r="CR196" i="1" s="1"/>
  <c r="CS196" i="1" s="1"/>
  <c r="CQ195" i="1"/>
  <c r="DQ195" i="1" s="1"/>
  <c r="CO195" i="1"/>
  <c r="CR195" i="1" s="1"/>
  <c r="CS195" i="1" s="1"/>
  <c r="CQ194" i="1"/>
  <c r="DQ194" i="1" s="1"/>
  <c r="CO194" i="1"/>
  <c r="CR194" i="1" s="1"/>
  <c r="CQ193" i="1"/>
  <c r="CO193" i="1"/>
  <c r="CR193" i="1" s="1"/>
  <c r="CS193" i="1" s="1"/>
  <c r="CQ192" i="1"/>
  <c r="DQ192" i="1" s="1"/>
  <c r="CO192" i="1"/>
  <c r="CR192" i="1" s="1"/>
  <c r="CS192" i="1" s="1"/>
  <c r="CQ191" i="1"/>
  <c r="DQ191" i="1" s="1"/>
  <c r="CO191" i="1"/>
  <c r="CR191" i="1" s="1"/>
  <c r="CS191" i="1" s="1"/>
  <c r="CQ190" i="1"/>
  <c r="DQ190" i="1" s="1"/>
  <c r="CO190" i="1"/>
  <c r="CR190" i="1" s="1"/>
  <c r="CS190" i="1" s="1"/>
  <c r="CQ189" i="1"/>
  <c r="DQ189" i="1" s="1"/>
  <c r="CO189" i="1"/>
  <c r="CR189" i="1" s="1"/>
  <c r="CS189" i="1" s="1"/>
  <c r="CQ188" i="1"/>
  <c r="DQ188" i="1" s="1"/>
  <c r="CO188" i="1"/>
  <c r="CR188" i="1" s="1"/>
  <c r="CS188" i="1" s="1"/>
  <c r="CQ187" i="1"/>
  <c r="CO187" i="1"/>
  <c r="CR187" i="1" s="1"/>
  <c r="CS187" i="1" s="1"/>
  <c r="CQ186" i="1"/>
  <c r="CO186" i="1"/>
  <c r="CR186" i="1" s="1"/>
  <c r="CS186" i="1" s="1"/>
  <c r="CQ185" i="1"/>
  <c r="CO185" i="1"/>
  <c r="CR185" i="1" s="1"/>
  <c r="CS185" i="1" s="1"/>
  <c r="CQ184" i="1"/>
  <c r="DQ184" i="1" s="1"/>
  <c r="CO184" i="1"/>
  <c r="CR184" i="1" s="1"/>
  <c r="CS184" i="1" s="1"/>
  <c r="CQ183" i="1"/>
  <c r="CO183" i="1"/>
  <c r="CR183" i="1" s="1"/>
  <c r="CS183" i="1" s="1"/>
  <c r="CQ182" i="1"/>
  <c r="CO182" i="1"/>
  <c r="CR182" i="1" s="1"/>
  <c r="CS182" i="1" s="1"/>
  <c r="CQ181" i="1"/>
  <c r="DQ181" i="1" s="1"/>
  <c r="CO181" i="1"/>
  <c r="CR181" i="1" s="1"/>
  <c r="CS181" i="1" s="1"/>
  <c r="CQ180" i="1"/>
  <c r="DQ180" i="1" s="1"/>
  <c r="CO180" i="1"/>
  <c r="CR180" i="1" s="1"/>
  <c r="CS180" i="1" s="1"/>
  <c r="CQ179" i="1"/>
  <c r="DQ179" i="1" s="1"/>
  <c r="CO179" i="1"/>
  <c r="CR179" i="1" s="1"/>
  <c r="CS179" i="1" s="1"/>
  <c r="CQ178" i="1"/>
  <c r="CO178" i="1"/>
  <c r="CR178" i="1" s="1"/>
  <c r="CS178" i="1" s="1"/>
  <c r="CQ177" i="1"/>
  <c r="CO177" i="1"/>
  <c r="CR177" i="1" s="1"/>
  <c r="CS177" i="1" s="1"/>
  <c r="CQ31" i="1"/>
  <c r="CO31" i="1"/>
  <c r="CR31" i="1" s="1"/>
  <c r="CS31" i="1" s="1"/>
  <c r="CQ176" i="1"/>
  <c r="DQ176" i="1" s="1"/>
  <c r="CO176" i="1"/>
  <c r="CR176" i="1" s="1"/>
  <c r="CS176" i="1" s="1"/>
  <c r="CQ175" i="1"/>
  <c r="CO175" i="1"/>
  <c r="CR175" i="1" s="1"/>
  <c r="CS175" i="1" s="1"/>
  <c r="CQ174" i="1"/>
  <c r="DQ174" i="1" s="1"/>
  <c r="CO174" i="1"/>
  <c r="CR174" i="1" s="1"/>
  <c r="CS174" i="1" s="1"/>
  <c r="CQ173" i="1"/>
  <c r="CO173" i="1"/>
  <c r="CR173" i="1" s="1"/>
  <c r="CS173" i="1" s="1"/>
  <c r="CQ172" i="1"/>
  <c r="CO172" i="1"/>
  <c r="CR172" i="1" s="1"/>
  <c r="CS172" i="1" s="1"/>
  <c r="CQ171" i="1"/>
  <c r="DQ171" i="1" s="1"/>
  <c r="CO171" i="1"/>
  <c r="CR171" i="1" s="1"/>
  <c r="CS171" i="1" s="1"/>
  <c r="CQ170" i="1"/>
  <c r="DQ170" i="1" s="1"/>
  <c r="CO170" i="1"/>
  <c r="CR170" i="1" s="1"/>
  <c r="CS170" i="1" s="1"/>
  <c r="CQ169" i="1"/>
  <c r="CO169" i="1"/>
  <c r="CR169" i="1" s="1"/>
  <c r="CS169" i="1" s="1"/>
  <c r="CQ168" i="1"/>
  <c r="DQ168" i="1" s="1"/>
  <c r="CO168" i="1"/>
  <c r="CR168" i="1" s="1"/>
  <c r="CS168" i="1" s="1"/>
  <c r="CQ167" i="1"/>
  <c r="CO167" i="1"/>
  <c r="CR167" i="1" s="1"/>
  <c r="CS167" i="1" s="1"/>
  <c r="CQ166" i="1"/>
  <c r="CO166" i="1"/>
  <c r="CR166" i="1" s="1"/>
  <c r="CS166" i="1" s="1"/>
  <c r="CQ165" i="1"/>
  <c r="DQ165" i="1" s="1"/>
  <c r="CO165" i="1"/>
  <c r="CR165" i="1" s="1"/>
  <c r="CQ164" i="1"/>
  <c r="CO164" i="1"/>
  <c r="CR164" i="1" s="1"/>
  <c r="CS164" i="1" s="1"/>
  <c r="CQ163" i="1"/>
  <c r="DQ163" i="1" s="1"/>
  <c r="CO163" i="1"/>
  <c r="CR163" i="1" s="1"/>
  <c r="CS163" i="1" s="1"/>
  <c r="CQ162" i="1"/>
  <c r="CO162" i="1"/>
  <c r="CR162" i="1" s="1"/>
  <c r="CS162" i="1" s="1"/>
  <c r="CQ161" i="1"/>
  <c r="CO161" i="1"/>
  <c r="CR161" i="1" s="1"/>
  <c r="CS161" i="1" s="1"/>
  <c r="CQ160" i="1"/>
  <c r="CO160" i="1"/>
  <c r="CR160" i="1" s="1"/>
  <c r="CS160" i="1" s="1"/>
  <c r="CQ159" i="1"/>
  <c r="DQ159" i="1" s="1"/>
  <c r="CO159" i="1"/>
  <c r="CR159" i="1" s="1"/>
  <c r="CS159" i="1" s="1"/>
  <c r="CQ158" i="1"/>
  <c r="CO158" i="1"/>
  <c r="CR158" i="1" s="1"/>
  <c r="CS158" i="1" s="1"/>
  <c r="CQ157" i="1"/>
  <c r="DQ157" i="1" s="1"/>
  <c r="CO157" i="1"/>
  <c r="CR157" i="1" s="1"/>
  <c r="CQ156" i="1"/>
  <c r="DQ156" i="1" s="1"/>
  <c r="CO156" i="1"/>
  <c r="CR156" i="1" s="1"/>
  <c r="CS156" i="1" s="1"/>
  <c r="CQ152" i="1"/>
  <c r="CO152" i="1"/>
  <c r="CR152" i="1" s="1"/>
  <c r="CS152" i="1" s="1"/>
  <c r="CQ150" i="1"/>
  <c r="CO150" i="1"/>
  <c r="CR150" i="1" s="1"/>
  <c r="CS150" i="1" s="1"/>
  <c r="CQ14" i="1"/>
  <c r="CO14" i="1"/>
  <c r="CR14" i="1" s="1"/>
  <c r="CS14" i="1" s="1"/>
  <c r="CQ149" i="1"/>
  <c r="CO149" i="1"/>
  <c r="CR149" i="1" s="1"/>
  <c r="CS149" i="1" s="1"/>
  <c r="CQ148" i="1"/>
  <c r="CO148" i="1"/>
  <c r="CR148" i="1" s="1"/>
  <c r="CS148" i="1" s="1"/>
  <c r="CQ147" i="1"/>
  <c r="CO147" i="1"/>
  <c r="CR147" i="1" s="1"/>
  <c r="CS147" i="1" s="1"/>
  <c r="CQ146" i="1"/>
  <c r="CO146" i="1"/>
  <c r="CR146" i="1" s="1"/>
  <c r="CS146" i="1" s="1"/>
  <c r="CQ144" i="1"/>
  <c r="CO144" i="1"/>
  <c r="CR144" i="1" s="1"/>
  <c r="CS144" i="1" s="1"/>
  <c r="CQ143" i="1"/>
  <c r="DQ143" i="1" s="1"/>
  <c r="CO143" i="1"/>
  <c r="CR143" i="1" s="1"/>
  <c r="CS143" i="1" s="1"/>
  <c r="CQ141" i="1"/>
  <c r="CO141" i="1"/>
  <c r="CR141" i="1" s="1"/>
  <c r="CS141" i="1" s="1"/>
  <c r="CQ139" i="1"/>
  <c r="DQ139" i="1" s="1"/>
  <c r="CO139" i="1"/>
  <c r="CR139" i="1" s="1"/>
  <c r="CQ138" i="1"/>
  <c r="CO138" i="1"/>
  <c r="CR138" i="1" s="1"/>
  <c r="CS138" i="1" s="1"/>
  <c r="CQ137" i="1"/>
  <c r="CO137" i="1"/>
  <c r="CR137" i="1" s="1"/>
  <c r="CS137" i="1" s="1"/>
  <c r="CQ136" i="1"/>
  <c r="CO136" i="1"/>
  <c r="CR136" i="1" s="1"/>
  <c r="CS136" i="1" s="1"/>
  <c r="CQ135" i="1"/>
  <c r="DQ135" i="1" s="1"/>
  <c r="CO135" i="1"/>
  <c r="CR135" i="1" s="1"/>
  <c r="CS135" i="1" s="1"/>
  <c r="CQ134" i="1"/>
  <c r="CO134" i="1"/>
  <c r="CR134" i="1" s="1"/>
  <c r="CS134" i="1" s="1"/>
  <c r="CQ132" i="1"/>
  <c r="CO132" i="1"/>
  <c r="CR132" i="1" s="1"/>
  <c r="CS132" i="1" s="1"/>
  <c r="CQ131" i="1"/>
  <c r="CO131" i="1"/>
  <c r="CR131" i="1" s="1"/>
  <c r="CS131" i="1" s="1"/>
  <c r="CQ129" i="1"/>
  <c r="DQ129" i="1" s="1"/>
  <c r="CO129" i="1"/>
  <c r="CR129" i="1" s="1"/>
  <c r="CS129" i="1" s="1"/>
  <c r="CQ13" i="1"/>
  <c r="CO13" i="1"/>
  <c r="CR13" i="1" s="1"/>
  <c r="CS13" i="1" s="1"/>
  <c r="CQ127" i="1"/>
  <c r="CO127" i="1"/>
  <c r="CR127" i="1" s="1"/>
  <c r="CS127" i="1" s="1"/>
  <c r="CQ126" i="1"/>
  <c r="CO126" i="1"/>
  <c r="CR126" i="1" s="1"/>
  <c r="CS126" i="1" s="1"/>
  <c r="CQ125" i="1"/>
  <c r="DQ125" i="1" s="1"/>
  <c r="CO125" i="1"/>
  <c r="CR125" i="1" s="1"/>
  <c r="CS125" i="1" s="1"/>
  <c r="CQ124" i="1"/>
  <c r="CO124" i="1"/>
  <c r="CR124" i="1" s="1"/>
  <c r="CS124" i="1" s="1"/>
  <c r="CQ122" i="1"/>
  <c r="CO122" i="1"/>
  <c r="CR122" i="1" s="1"/>
  <c r="CS122" i="1" s="1"/>
  <c r="CQ121" i="1"/>
  <c r="CO121" i="1"/>
  <c r="CR121" i="1" s="1"/>
  <c r="CS121" i="1" s="1"/>
  <c r="CQ120" i="1"/>
  <c r="DQ120" i="1" s="1"/>
  <c r="CO120" i="1"/>
  <c r="CR120" i="1" s="1"/>
  <c r="CS120" i="1" s="1"/>
  <c r="CQ119" i="1"/>
  <c r="DQ119" i="1" s="1"/>
  <c r="CO119" i="1"/>
  <c r="CR119" i="1" s="1"/>
  <c r="CS119" i="1" s="1"/>
  <c r="CQ288" i="1"/>
  <c r="DQ288" i="1" s="1"/>
  <c r="CO288" i="1"/>
  <c r="CR288" i="1" s="1"/>
  <c r="CS288" i="1" s="1"/>
  <c r="CQ118" i="1"/>
  <c r="CO118" i="1"/>
  <c r="CR118" i="1" s="1"/>
  <c r="CS118" i="1" s="1"/>
  <c r="CQ117" i="1"/>
  <c r="CO117" i="1"/>
  <c r="CR117" i="1" s="1"/>
  <c r="CS117" i="1" s="1"/>
  <c r="CQ116" i="1"/>
  <c r="CO116" i="1"/>
  <c r="CR116" i="1" s="1"/>
  <c r="CS116" i="1" s="1"/>
  <c r="CQ115" i="1"/>
  <c r="CO115" i="1"/>
  <c r="CR115" i="1" s="1"/>
  <c r="CS115" i="1" s="1"/>
  <c r="CQ114" i="1"/>
  <c r="CO114" i="1"/>
  <c r="CR114" i="1" s="1"/>
  <c r="CS114" i="1" s="1"/>
  <c r="CQ113" i="1"/>
  <c r="CO113" i="1"/>
  <c r="CR113" i="1" s="1"/>
  <c r="CS113" i="1" s="1"/>
  <c r="CQ112" i="1"/>
  <c r="CO112" i="1"/>
  <c r="CR112" i="1" s="1"/>
  <c r="CS112" i="1" s="1"/>
  <c r="CQ111" i="1"/>
  <c r="DQ111" i="1" s="1"/>
  <c r="CO111" i="1"/>
  <c r="CR111" i="1" s="1"/>
  <c r="CS111" i="1" s="1"/>
  <c r="CQ110" i="1"/>
  <c r="CO110" i="1"/>
  <c r="CR110" i="1" s="1"/>
  <c r="CS110" i="1" s="1"/>
  <c r="CQ109" i="1"/>
  <c r="CO109" i="1"/>
  <c r="CR109" i="1" s="1"/>
  <c r="CS109" i="1" s="1"/>
  <c r="CQ108" i="1"/>
  <c r="CO108" i="1"/>
  <c r="CR108" i="1" s="1"/>
  <c r="CS108" i="1" s="1"/>
  <c r="CQ107" i="1"/>
  <c r="DQ107" i="1" s="1"/>
  <c r="CO107" i="1"/>
  <c r="CR107" i="1" s="1"/>
  <c r="CS107" i="1" s="1"/>
  <c r="CQ106" i="1"/>
  <c r="CO106" i="1"/>
  <c r="CR106" i="1" s="1"/>
  <c r="CS106" i="1" s="1"/>
  <c r="CQ104" i="1"/>
  <c r="DQ104" i="1" s="1"/>
  <c r="CO104" i="1"/>
  <c r="CR104" i="1" s="1"/>
  <c r="CS104" i="1" s="1"/>
  <c r="CQ103" i="1"/>
  <c r="CO103" i="1"/>
  <c r="CR103" i="1" s="1"/>
  <c r="CS103" i="1" s="1"/>
  <c r="CQ101" i="1"/>
  <c r="CO101" i="1"/>
  <c r="CR101" i="1" s="1"/>
  <c r="CS101" i="1" s="1"/>
  <c r="CQ12" i="1"/>
  <c r="CO12" i="1"/>
  <c r="CR12" i="1" s="1"/>
  <c r="CQ99" i="1"/>
  <c r="CO99" i="1"/>
  <c r="CR99" i="1" s="1"/>
  <c r="CS99" i="1" s="1"/>
  <c r="CQ98" i="1"/>
  <c r="CO98" i="1"/>
  <c r="CR98" i="1" s="1"/>
  <c r="CS98" i="1" s="1"/>
  <c r="CQ97" i="1"/>
  <c r="CO97" i="1"/>
  <c r="CR97" i="1" s="1"/>
  <c r="CS97" i="1" s="1"/>
  <c r="CQ72" i="1"/>
  <c r="CO72" i="1"/>
  <c r="CR72" i="1" s="1"/>
  <c r="CS72" i="1" s="1"/>
  <c r="CQ96" i="1"/>
  <c r="CO96" i="1"/>
  <c r="CR96" i="1" s="1"/>
  <c r="CS96" i="1" s="1"/>
  <c r="CQ145" i="1"/>
  <c r="CO145" i="1"/>
  <c r="CR145" i="1" s="1"/>
  <c r="CS145" i="1" s="1"/>
  <c r="CQ11" i="1"/>
  <c r="DQ11" i="1" s="1"/>
  <c r="CO11" i="1"/>
  <c r="CR11" i="1" s="1"/>
  <c r="CS11" i="1" s="1"/>
  <c r="CQ95" i="1"/>
  <c r="CO95" i="1"/>
  <c r="CR95" i="1" s="1"/>
  <c r="CS95" i="1" s="1"/>
  <c r="CQ93" i="1"/>
  <c r="DQ93" i="1" s="1"/>
  <c r="CO93" i="1"/>
  <c r="CR93" i="1" s="1"/>
  <c r="CS93" i="1" s="1"/>
  <c r="CQ92" i="1"/>
  <c r="DQ92" i="1" s="1"/>
  <c r="CO92" i="1"/>
  <c r="CR92" i="1" s="1"/>
  <c r="CS92" i="1" s="1"/>
  <c r="CQ91" i="1"/>
  <c r="DQ91" i="1" s="1"/>
  <c r="CO91" i="1"/>
  <c r="CR91" i="1" s="1"/>
  <c r="CS91" i="1" s="1"/>
  <c r="CQ90" i="1"/>
  <c r="DQ90" i="1" s="1"/>
  <c r="CO90" i="1"/>
  <c r="CR90" i="1" s="1"/>
  <c r="CQ89" i="1"/>
  <c r="CO89" i="1"/>
  <c r="CR89" i="1" s="1"/>
  <c r="CS89" i="1" s="1"/>
  <c r="CQ87" i="1"/>
  <c r="CO87" i="1"/>
  <c r="CR87" i="1" s="1"/>
  <c r="CS87" i="1" s="1"/>
  <c r="CQ86" i="1"/>
  <c r="CO86" i="1"/>
  <c r="CR86" i="1" s="1"/>
  <c r="CS86" i="1" s="1"/>
  <c r="CQ8" i="1"/>
  <c r="CO8" i="1"/>
  <c r="CR8" i="1" s="1"/>
  <c r="CS8" i="1" s="1"/>
  <c r="CQ85" i="1"/>
  <c r="CO85" i="1"/>
  <c r="CR85" i="1" s="1"/>
  <c r="CS85" i="1" s="1"/>
  <c r="CQ84" i="1"/>
  <c r="CO84" i="1"/>
  <c r="CR84" i="1" s="1"/>
  <c r="CS84" i="1" s="1"/>
  <c r="CQ82" i="1"/>
  <c r="CO82" i="1"/>
  <c r="CR82" i="1" s="1"/>
  <c r="CS82" i="1" s="1"/>
  <c r="CQ80" i="1"/>
  <c r="DQ80" i="1" s="1"/>
  <c r="CO80" i="1"/>
  <c r="CR80" i="1" s="1"/>
  <c r="CS80" i="1" s="1"/>
  <c r="CQ79" i="1"/>
  <c r="CO79" i="1"/>
  <c r="CR79" i="1" s="1"/>
  <c r="CS79" i="1" s="1"/>
  <c r="CQ78" i="1"/>
  <c r="CO78" i="1"/>
  <c r="CR78" i="1" s="1"/>
  <c r="CS78" i="1" s="1"/>
  <c r="CQ77" i="1"/>
  <c r="CO77" i="1"/>
  <c r="CR77" i="1" s="1"/>
  <c r="CS77" i="1" s="1"/>
  <c r="CQ76" i="1"/>
  <c r="CO76" i="1"/>
  <c r="CR76" i="1" s="1"/>
  <c r="CS76" i="1" s="1"/>
  <c r="CQ75" i="1"/>
  <c r="DQ75" i="1" s="1"/>
  <c r="CO75" i="1"/>
  <c r="CR75" i="1" s="1"/>
  <c r="CQ9" i="1"/>
  <c r="CO9" i="1"/>
  <c r="CR9" i="1" s="1"/>
  <c r="CS9" i="1" s="1"/>
  <c r="CQ74" i="1"/>
  <c r="CO74" i="1"/>
  <c r="CR74" i="1" s="1"/>
  <c r="CS74" i="1" s="1"/>
  <c r="CQ73" i="1"/>
  <c r="DQ73" i="1" s="1"/>
  <c r="CO73" i="1"/>
  <c r="CR73" i="1" s="1"/>
  <c r="CS73" i="1" s="1"/>
  <c r="CQ71" i="1"/>
  <c r="CO71" i="1"/>
  <c r="CR71" i="1" s="1"/>
  <c r="CS71" i="1" s="1"/>
  <c r="CQ70" i="1"/>
  <c r="CO70" i="1"/>
  <c r="CR70" i="1" s="1"/>
  <c r="CS70" i="1" s="1"/>
  <c r="CQ69" i="1"/>
  <c r="CO69" i="1"/>
  <c r="CR69" i="1" s="1"/>
  <c r="CQ68" i="1"/>
  <c r="CO68" i="1"/>
  <c r="CR68" i="1" s="1"/>
  <c r="CS68" i="1" s="1"/>
  <c r="CQ67" i="1"/>
  <c r="CO67" i="1"/>
  <c r="CR67" i="1" s="1"/>
  <c r="CS67" i="1" s="1"/>
  <c r="CQ66" i="1"/>
  <c r="CO66" i="1"/>
  <c r="CR66" i="1" s="1"/>
  <c r="CS66" i="1" s="1"/>
  <c r="CQ65" i="1"/>
  <c r="CO65" i="1"/>
  <c r="CR65" i="1" s="1"/>
  <c r="CS65" i="1" s="1"/>
  <c r="CQ48" i="1"/>
  <c r="CO48" i="1"/>
  <c r="CR48" i="1" s="1"/>
  <c r="CS48" i="1" s="1"/>
  <c r="CQ63" i="1"/>
  <c r="DQ63" i="1" s="1"/>
  <c r="CO63" i="1"/>
  <c r="CR63" i="1" s="1"/>
  <c r="CS63" i="1" s="1"/>
  <c r="CQ62" i="1"/>
  <c r="DQ62" i="1" s="1"/>
  <c r="CO62" i="1"/>
  <c r="CR62" i="1" s="1"/>
  <c r="CS62" i="1" s="1"/>
  <c r="CQ60" i="1"/>
  <c r="CO60" i="1"/>
  <c r="CR60" i="1" s="1"/>
  <c r="CS60" i="1" s="1"/>
  <c r="CQ59" i="1"/>
  <c r="CO59" i="1"/>
  <c r="CR59" i="1" s="1"/>
  <c r="CS59" i="1" s="1"/>
  <c r="CQ58" i="1"/>
  <c r="CO58" i="1"/>
  <c r="CR58" i="1" s="1"/>
  <c r="CS58" i="1" s="1"/>
  <c r="CQ54" i="1"/>
  <c r="DQ54" i="1" s="1"/>
  <c r="CO54" i="1"/>
  <c r="CR54" i="1" s="1"/>
  <c r="CS54" i="1" s="1"/>
  <c r="CQ52" i="1"/>
  <c r="CO52" i="1"/>
  <c r="CR52" i="1" s="1"/>
  <c r="CS52" i="1" s="1"/>
  <c r="CQ51" i="1"/>
  <c r="CO51" i="1"/>
  <c r="CR51" i="1" s="1"/>
  <c r="CS51" i="1" s="1"/>
  <c r="CQ50" i="1"/>
  <c r="CO50" i="1"/>
  <c r="CR50" i="1" s="1"/>
  <c r="CS50" i="1" s="1"/>
  <c r="CQ123" i="1"/>
  <c r="CO123" i="1"/>
  <c r="CR123" i="1" s="1"/>
  <c r="CS123" i="1" s="1"/>
  <c r="CQ6" i="1"/>
  <c r="CO6" i="1"/>
  <c r="CR6" i="1" s="1"/>
  <c r="CS6" i="1" s="1"/>
  <c r="CQ47" i="1"/>
  <c r="CO47" i="1"/>
  <c r="CR47" i="1" s="1"/>
  <c r="CS47" i="1" s="1"/>
  <c r="CQ46" i="1"/>
  <c r="CO46" i="1"/>
  <c r="CR46" i="1" s="1"/>
  <c r="CS46" i="1" s="1"/>
  <c r="CQ44" i="1"/>
  <c r="DQ44" i="1" s="1"/>
  <c r="CO44" i="1"/>
  <c r="CR44" i="1" s="1"/>
  <c r="CS44" i="1" s="1"/>
  <c r="CQ42" i="1"/>
  <c r="CO42" i="1"/>
  <c r="CR42" i="1" s="1"/>
  <c r="CS42" i="1" s="1"/>
  <c r="CQ41" i="1"/>
  <c r="CO41" i="1"/>
  <c r="CR41" i="1" s="1"/>
  <c r="CQ40" i="1"/>
  <c r="CO40" i="1"/>
  <c r="CR40" i="1" s="1"/>
  <c r="CS40" i="1" s="1"/>
  <c r="CQ39" i="1"/>
  <c r="CO39" i="1"/>
  <c r="CR39" i="1" s="1"/>
  <c r="CS39" i="1" s="1"/>
  <c r="CQ38" i="1"/>
  <c r="CO38" i="1"/>
  <c r="CR38" i="1" s="1"/>
  <c r="CS38" i="1" s="1"/>
  <c r="CQ37" i="1"/>
  <c r="CO37" i="1"/>
  <c r="CR37" i="1" s="1"/>
  <c r="CS37" i="1" s="1"/>
  <c r="CQ36" i="1"/>
  <c r="CO36" i="1"/>
  <c r="CR36" i="1" s="1"/>
  <c r="CS36" i="1" s="1"/>
  <c r="CQ35" i="1"/>
  <c r="CO35" i="1"/>
  <c r="CR35" i="1" s="1"/>
  <c r="CS35" i="1" s="1"/>
  <c r="CQ34" i="1"/>
  <c r="CO34" i="1"/>
  <c r="CR34" i="1" s="1"/>
  <c r="CS34" i="1" s="1"/>
  <c r="CQ33" i="1"/>
  <c r="DQ33" i="1" s="1"/>
  <c r="CO33" i="1"/>
  <c r="CR33" i="1" s="1"/>
  <c r="CS33" i="1" s="1"/>
  <c r="CQ32" i="1"/>
  <c r="CO32" i="1"/>
  <c r="CR32" i="1" s="1"/>
  <c r="CS32" i="1" s="1"/>
  <c r="CQ83" i="1"/>
  <c r="CO83" i="1"/>
  <c r="CR83" i="1" s="1"/>
  <c r="CS83" i="1" s="1"/>
  <c r="CQ30" i="1"/>
  <c r="CO30" i="1"/>
  <c r="CR30" i="1" s="1"/>
  <c r="CS30" i="1" s="1"/>
  <c r="CQ28" i="1"/>
  <c r="CO28" i="1"/>
  <c r="CR28" i="1" s="1"/>
  <c r="CS28" i="1" s="1"/>
  <c r="CQ27" i="1"/>
  <c r="CO27" i="1"/>
  <c r="CR27" i="1" s="1"/>
  <c r="CS27" i="1" s="1"/>
  <c r="CQ26" i="1"/>
  <c r="CO26" i="1"/>
  <c r="CR26" i="1" s="1"/>
  <c r="CS26" i="1" s="1"/>
  <c r="CQ25" i="1"/>
  <c r="CO25" i="1"/>
  <c r="CR25" i="1" s="1"/>
  <c r="CS25" i="1" s="1"/>
  <c r="CQ24" i="1"/>
  <c r="DQ24" i="1" s="1"/>
  <c r="CO24" i="1"/>
  <c r="CR24" i="1" s="1"/>
  <c r="CS24" i="1" s="1"/>
  <c r="CQ23" i="1"/>
  <c r="CO23" i="1"/>
  <c r="CR23" i="1" s="1"/>
  <c r="CS23" i="1" s="1"/>
  <c r="CQ142" i="1"/>
  <c r="CO142" i="1"/>
  <c r="CR142" i="1" s="1"/>
  <c r="CS142" i="1" s="1"/>
  <c r="CQ22" i="1"/>
  <c r="CO22" i="1"/>
  <c r="CR22" i="1" s="1"/>
  <c r="CS22" i="1" s="1"/>
  <c r="CQ21" i="1"/>
  <c r="CO21" i="1"/>
  <c r="CR21" i="1" s="1"/>
  <c r="CS21" i="1" s="1"/>
  <c r="CQ20" i="1"/>
  <c r="CO20" i="1"/>
  <c r="CR20" i="1" s="1"/>
  <c r="CS20" i="1" s="1"/>
  <c r="CQ19" i="1"/>
  <c r="CO19" i="1"/>
  <c r="CR19" i="1" s="1"/>
  <c r="CS19" i="1" s="1"/>
  <c r="CQ18" i="1"/>
  <c r="CO18" i="1"/>
  <c r="CR18" i="1" s="1"/>
  <c r="CS18" i="1" s="1"/>
  <c r="CQ17" i="1"/>
  <c r="CO17" i="1"/>
  <c r="CR17" i="1" s="1"/>
  <c r="CS17" i="1" s="1"/>
  <c r="CQ16" i="1"/>
  <c r="CO16" i="1"/>
  <c r="CR16" i="1" s="1"/>
  <c r="CS16" i="1" s="1"/>
  <c r="CQ15" i="1"/>
  <c r="DQ15" i="1" s="1"/>
  <c r="CO15" i="1"/>
  <c r="CR15" i="1" s="1"/>
  <c r="CQ88" i="1"/>
  <c r="CO88" i="1"/>
  <c r="CR88" i="1" s="1"/>
  <c r="CS88" i="1" s="1"/>
  <c r="CQ81" i="1"/>
  <c r="CO81" i="1"/>
  <c r="CR81" i="1" s="1"/>
  <c r="CS81" i="1" s="1"/>
  <c r="CQ7" i="1"/>
  <c r="CO7" i="1"/>
  <c r="CR7" i="1" s="1"/>
  <c r="CS7" i="1" s="1"/>
  <c r="CQ64" i="1"/>
  <c r="CO64" i="1"/>
  <c r="CR64" i="1" s="1"/>
  <c r="CQ43" i="1"/>
  <c r="CO43" i="1"/>
  <c r="CR43" i="1" s="1"/>
  <c r="CS43" i="1" s="1"/>
  <c r="CJ334" i="1"/>
  <c r="CH334" i="1"/>
  <c r="CJ333" i="1"/>
  <c r="CH333" i="1"/>
  <c r="CJ332" i="1"/>
  <c r="CH332" i="1"/>
  <c r="CJ331" i="1"/>
  <c r="CH331" i="1"/>
  <c r="CJ330" i="1"/>
  <c r="CH330" i="1"/>
  <c r="CJ329" i="1"/>
  <c r="CH329" i="1"/>
  <c r="CJ328" i="1"/>
  <c r="CH328" i="1"/>
  <c r="CJ327" i="1"/>
  <c r="CH327" i="1"/>
  <c r="CJ326" i="1"/>
  <c r="CH326" i="1"/>
  <c r="CJ325" i="1"/>
  <c r="CH325" i="1"/>
  <c r="CJ324" i="1"/>
  <c r="CH324" i="1"/>
  <c r="CJ323" i="1"/>
  <c r="CH323" i="1"/>
  <c r="CJ322" i="1"/>
  <c r="CH322" i="1"/>
  <c r="CJ321" i="1"/>
  <c r="CH321" i="1"/>
  <c r="CJ320" i="1"/>
  <c r="CH320" i="1"/>
  <c r="CJ319" i="1"/>
  <c r="CH319" i="1"/>
  <c r="CJ318" i="1"/>
  <c r="CH318" i="1"/>
  <c r="CJ317" i="1"/>
  <c r="CH317" i="1"/>
  <c r="CJ316" i="1"/>
  <c r="CH316" i="1"/>
  <c r="CJ315" i="1"/>
  <c r="CH315" i="1"/>
  <c r="CJ140" i="1"/>
  <c r="CH140" i="1"/>
  <c r="CJ314" i="1"/>
  <c r="CH314" i="1"/>
  <c r="CJ313" i="1"/>
  <c r="CH313" i="1"/>
  <c r="CJ312" i="1"/>
  <c r="CH312" i="1"/>
  <c r="CJ311" i="1"/>
  <c r="CH311" i="1"/>
  <c r="CJ310" i="1"/>
  <c r="CH310" i="1"/>
  <c r="CJ309" i="1"/>
  <c r="CH309" i="1"/>
  <c r="CJ308" i="1"/>
  <c r="CH308" i="1"/>
  <c r="CJ307" i="1"/>
  <c r="CH307" i="1"/>
  <c r="CJ306" i="1"/>
  <c r="CH306" i="1"/>
  <c r="CJ305" i="1"/>
  <c r="CH305" i="1"/>
  <c r="CJ304" i="1"/>
  <c r="CH304" i="1"/>
  <c r="CJ303" i="1"/>
  <c r="CH303" i="1"/>
  <c r="CJ302" i="1"/>
  <c r="CH302" i="1"/>
  <c r="CJ301" i="1"/>
  <c r="CH301" i="1"/>
  <c r="CJ300" i="1"/>
  <c r="CH300" i="1"/>
  <c r="CJ299" i="1"/>
  <c r="CH299" i="1"/>
  <c r="CJ298" i="1"/>
  <c r="CH298" i="1"/>
  <c r="CJ297" i="1"/>
  <c r="CH297" i="1"/>
  <c r="CJ296" i="1"/>
  <c r="CH296" i="1"/>
  <c r="CJ295" i="1"/>
  <c r="CH295" i="1"/>
  <c r="CJ294" i="1"/>
  <c r="CH294" i="1"/>
  <c r="CJ293" i="1"/>
  <c r="CH293" i="1"/>
  <c r="CJ292" i="1"/>
  <c r="CH292" i="1"/>
  <c r="CJ291" i="1"/>
  <c r="CH291" i="1"/>
  <c r="CJ290" i="1"/>
  <c r="CH290" i="1"/>
  <c r="CJ289" i="1"/>
  <c r="CH289" i="1"/>
  <c r="CJ287" i="1"/>
  <c r="CH287" i="1"/>
  <c r="CJ286" i="1"/>
  <c r="CH286" i="1"/>
  <c r="CJ285" i="1"/>
  <c r="CH285" i="1"/>
  <c r="CJ284" i="1"/>
  <c r="CH284" i="1"/>
  <c r="CJ283" i="1"/>
  <c r="CH283" i="1"/>
  <c r="CJ282" i="1"/>
  <c r="CH282" i="1"/>
  <c r="CJ281" i="1"/>
  <c r="CH281" i="1"/>
  <c r="CJ280" i="1"/>
  <c r="CH280" i="1"/>
  <c r="CJ279" i="1"/>
  <c r="CH279" i="1"/>
  <c r="CJ278" i="1"/>
  <c r="CH278" i="1"/>
  <c r="CJ277" i="1"/>
  <c r="CH277" i="1"/>
  <c r="CJ276" i="1"/>
  <c r="CH276" i="1"/>
  <c r="CJ275" i="1"/>
  <c r="CH275" i="1"/>
  <c r="CJ274" i="1"/>
  <c r="CH274" i="1"/>
  <c r="CJ273" i="1"/>
  <c r="CH273" i="1"/>
  <c r="CJ272" i="1"/>
  <c r="CH272" i="1"/>
  <c r="CJ271" i="1"/>
  <c r="CH271" i="1"/>
  <c r="CJ270" i="1"/>
  <c r="CH270" i="1"/>
  <c r="CJ269" i="1"/>
  <c r="CH269" i="1"/>
  <c r="CJ268" i="1"/>
  <c r="CH268" i="1"/>
  <c r="CJ267" i="1"/>
  <c r="CH267" i="1"/>
  <c r="CJ266" i="1"/>
  <c r="CH266" i="1"/>
  <c r="CJ265" i="1"/>
  <c r="CH265" i="1"/>
  <c r="CJ264" i="1"/>
  <c r="CH264" i="1"/>
  <c r="CJ263" i="1"/>
  <c r="CH263" i="1"/>
  <c r="CJ262" i="1"/>
  <c r="CH262" i="1"/>
  <c r="CJ261" i="1"/>
  <c r="CH261" i="1"/>
  <c r="CJ260" i="1"/>
  <c r="CH260" i="1"/>
  <c r="CJ259" i="1"/>
  <c r="CH259" i="1"/>
  <c r="CJ258" i="1"/>
  <c r="CH258" i="1"/>
  <c r="CJ257" i="1"/>
  <c r="CH257" i="1"/>
  <c r="CJ256" i="1"/>
  <c r="CH256" i="1"/>
  <c r="CJ255" i="1"/>
  <c r="CH255" i="1"/>
  <c r="CJ254" i="1"/>
  <c r="CH254" i="1"/>
  <c r="CJ253" i="1"/>
  <c r="CH253" i="1"/>
  <c r="CJ252" i="1"/>
  <c r="CH252" i="1"/>
  <c r="CJ251" i="1"/>
  <c r="CH251" i="1"/>
  <c r="CJ250" i="1"/>
  <c r="CH250" i="1"/>
  <c r="CJ249" i="1"/>
  <c r="CH249" i="1"/>
  <c r="CJ248" i="1"/>
  <c r="CH248" i="1"/>
  <c r="CJ247" i="1"/>
  <c r="CH247" i="1"/>
  <c r="CJ246" i="1"/>
  <c r="CH246" i="1"/>
  <c r="CJ245" i="1"/>
  <c r="CH245" i="1"/>
  <c r="CJ244" i="1"/>
  <c r="CH244" i="1"/>
  <c r="CJ243" i="1"/>
  <c r="CH243" i="1"/>
  <c r="CJ242" i="1"/>
  <c r="CH242" i="1"/>
  <c r="CJ241" i="1"/>
  <c r="CH241" i="1"/>
  <c r="CJ240" i="1"/>
  <c r="CH240" i="1"/>
  <c r="CJ239" i="1"/>
  <c r="CH239" i="1"/>
  <c r="CJ238" i="1"/>
  <c r="CH238" i="1"/>
  <c r="CJ237" i="1"/>
  <c r="CH237" i="1"/>
  <c r="CJ236" i="1"/>
  <c r="CH236" i="1"/>
  <c r="CJ235" i="1"/>
  <c r="CH235" i="1"/>
  <c r="CJ234" i="1"/>
  <c r="CH234" i="1"/>
  <c r="CJ233" i="1"/>
  <c r="CH233" i="1"/>
  <c r="CJ232" i="1"/>
  <c r="CH232" i="1"/>
  <c r="CJ231" i="1"/>
  <c r="CH231" i="1"/>
  <c r="CJ230" i="1"/>
  <c r="CH230" i="1"/>
  <c r="CJ229" i="1"/>
  <c r="CH229" i="1"/>
  <c r="CJ228" i="1"/>
  <c r="CH228" i="1"/>
  <c r="CJ227" i="1"/>
  <c r="CH227" i="1"/>
  <c r="CJ226" i="1"/>
  <c r="CH226" i="1"/>
  <c r="CJ225" i="1"/>
  <c r="CH225" i="1"/>
  <c r="CJ224" i="1"/>
  <c r="CH224" i="1"/>
  <c r="CJ223" i="1"/>
  <c r="CH223" i="1"/>
  <c r="CJ222" i="1"/>
  <c r="CH222" i="1"/>
  <c r="CJ221" i="1"/>
  <c r="CH221" i="1"/>
  <c r="CJ220" i="1"/>
  <c r="CH220" i="1"/>
  <c r="CJ219" i="1"/>
  <c r="CH219" i="1"/>
  <c r="CJ218" i="1"/>
  <c r="CH218" i="1"/>
  <c r="CJ217" i="1"/>
  <c r="CH217" i="1"/>
  <c r="CJ216" i="1"/>
  <c r="CH216" i="1"/>
  <c r="CJ215" i="1"/>
  <c r="CH215" i="1"/>
  <c r="CJ214" i="1"/>
  <c r="CH214" i="1"/>
  <c r="CJ213" i="1"/>
  <c r="CH213" i="1"/>
  <c r="CJ212" i="1"/>
  <c r="CH212" i="1"/>
  <c r="CJ211" i="1"/>
  <c r="CH211" i="1"/>
  <c r="CJ210" i="1"/>
  <c r="CH210" i="1"/>
  <c r="CJ209" i="1"/>
  <c r="CH209" i="1"/>
  <c r="CJ208" i="1"/>
  <c r="CH208" i="1"/>
  <c r="CJ207" i="1"/>
  <c r="CH207" i="1"/>
  <c r="CJ206" i="1"/>
  <c r="CH206" i="1"/>
  <c r="CJ205" i="1"/>
  <c r="CH205" i="1"/>
  <c r="CJ204" i="1"/>
  <c r="CH204" i="1"/>
  <c r="CJ203" i="1"/>
  <c r="CH203" i="1"/>
  <c r="CJ202" i="1"/>
  <c r="CH202" i="1"/>
  <c r="CJ201" i="1"/>
  <c r="CH201" i="1"/>
  <c r="CJ200" i="1"/>
  <c r="CH200" i="1"/>
  <c r="CJ199" i="1"/>
  <c r="CH199" i="1"/>
  <c r="CJ198" i="1"/>
  <c r="CH198" i="1"/>
  <c r="CJ197" i="1"/>
  <c r="CH197" i="1"/>
  <c r="CJ196" i="1"/>
  <c r="CH196" i="1"/>
  <c r="CJ195" i="1"/>
  <c r="CH195" i="1"/>
  <c r="CJ194" i="1"/>
  <c r="CH194" i="1"/>
  <c r="CJ193" i="1"/>
  <c r="CH193" i="1"/>
  <c r="CJ192" i="1"/>
  <c r="CH192" i="1"/>
  <c r="CJ191" i="1"/>
  <c r="CH191" i="1"/>
  <c r="CJ190" i="1"/>
  <c r="CH190" i="1"/>
  <c r="CJ189" i="1"/>
  <c r="CH189" i="1"/>
  <c r="CJ188" i="1"/>
  <c r="CH188" i="1"/>
  <c r="CJ187" i="1"/>
  <c r="CH187" i="1"/>
  <c r="CJ186" i="1"/>
  <c r="CH186" i="1"/>
  <c r="CJ185" i="1"/>
  <c r="CH185" i="1"/>
  <c r="CJ184" i="1"/>
  <c r="CH184" i="1"/>
  <c r="CJ183" i="1"/>
  <c r="CH183" i="1"/>
  <c r="CJ182" i="1"/>
  <c r="CH182" i="1"/>
  <c r="CJ181" i="1"/>
  <c r="CH181" i="1"/>
  <c r="CJ180" i="1"/>
  <c r="CH180" i="1"/>
  <c r="CJ179" i="1"/>
  <c r="CH179" i="1"/>
  <c r="CJ178" i="1"/>
  <c r="CH178" i="1"/>
  <c r="CJ177" i="1"/>
  <c r="CH177" i="1"/>
  <c r="CJ31" i="1"/>
  <c r="CH31" i="1"/>
  <c r="CJ176" i="1"/>
  <c r="CH176" i="1"/>
  <c r="CJ175" i="1"/>
  <c r="CH175" i="1"/>
  <c r="CJ174" i="1"/>
  <c r="CH174" i="1"/>
  <c r="CJ173" i="1"/>
  <c r="CH173" i="1"/>
  <c r="CJ172" i="1"/>
  <c r="CH172" i="1"/>
  <c r="CJ171" i="1"/>
  <c r="CH171" i="1"/>
  <c r="CJ170" i="1"/>
  <c r="CH170" i="1"/>
  <c r="CJ169" i="1"/>
  <c r="CH169" i="1"/>
  <c r="CJ168" i="1"/>
  <c r="CH168" i="1"/>
  <c r="CJ167" i="1"/>
  <c r="CH167" i="1"/>
  <c r="CJ166" i="1"/>
  <c r="CH166" i="1"/>
  <c r="CJ165" i="1"/>
  <c r="CH165" i="1"/>
  <c r="CJ164" i="1"/>
  <c r="CH164" i="1"/>
  <c r="CJ163" i="1"/>
  <c r="CH163" i="1"/>
  <c r="CJ162" i="1"/>
  <c r="CH162" i="1"/>
  <c r="CJ161" i="1"/>
  <c r="CH161" i="1"/>
  <c r="CJ160" i="1"/>
  <c r="CH160" i="1"/>
  <c r="CJ159" i="1"/>
  <c r="CH159" i="1"/>
  <c r="CJ158" i="1"/>
  <c r="CH158" i="1"/>
  <c r="CJ157" i="1"/>
  <c r="CH157" i="1"/>
  <c r="CJ156" i="1"/>
  <c r="CH156" i="1"/>
  <c r="CJ152" i="1"/>
  <c r="CH152" i="1"/>
  <c r="CJ150" i="1"/>
  <c r="CH150" i="1"/>
  <c r="CJ14" i="1"/>
  <c r="CH14" i="1"/>
  <c r="CJ149" i="1"/>
  <c r="CH149" i="1"/>
  <c r="CJ148" i="1"/>
  <c r="CH148" i="1"/>
  <c r="CJ147" i="1"/>
  <c r="CH147" i="1"/>
  <c r="CJ146" i="1"/>
  <c r="CH146" i="1"/>
  <c r="CJ144" i="1"/>
  <c r="CH144" i="1"/>
  <c r="CJ143" i="1"/>
  <c r="CH143" i="1"/>
  <c r="CJ141" i="1"/>
  <c r="CH141" i="1"/>
  <c r="CJ139" i="1"/>
  <c r="CH139" i="1"/>
  <c r="CJ138" i="1"/>
  <c r="CH138" i="1"/>
  <c r="CJ137" i="1"/>
  <c r="CH137" i="1"/>
  <c r="CJ136" i="1"/>
  <c r="CH136" i="1"/>
  <c r="CJ135" i="1"/>
  <c r="DK135" i="1" s="1"/>
  <c r="CH135" i="1"/>
  <c r="CJ134" i="1"/>
  <c r="CH134" i="1"/>
  <c r="CJ132" i="1"/>
  <c r="CH132" i="1"/>
  <c r="CJ131" i="1"/>
  <c r="CH131" i="1"/>
  <c r="CJ129" i="1"/>
  <c r="CH129" i="1"/>
  <c r="CJ13" i="1"/>
  <c r="CH13" i="1"/>
  <c r="CJ127" i="1"/>
  <c r="CH127" i="1"/>
  <c r="CJ126" i="1"/>
  <c r="CH126" i="1"/>
  <c r="CJ125" i="1"/>
  <c r="CH125" i="1"/>
  <c r="CJ124" i="1"/>
  <c r="CH124" i="1"/>
  <c r="CJ122" i="1"/>
  <c r="CH122" i="1"/>
  <c r="CJ121" i="1"/>
  <c r="CH121" i="1"/>
  <c r="CJ120" i="1"/>
  <c r="CH120" i="1"/>
  <c r="CJ119" i="1"/>
  <c r="CH119" i="1"/>
  <c r="CJ288" i="1"/>
  <c r="CH288" i="1"/>
  <c r="CJ118" i="1"/>
  <c r="CH118" i="1"/>
  <c r="CJ117" i="1"/>
  <c r="CH117" i="1"/>
  <c r="CJ116" i="1"/>
  <c r="CH116" i="1"/>
  <c r="CJ115" i="1"/>
  <c r="CH115" i="1"/>
  <c r="CJ114" i="1"/>
  <c r="CH114" i="1"/>
  <c r="CJ113" i="1"/>
  <c r="CH113" i="1"/>
  <c r="CJ112" i="1"/>
  <c r="CH112" i="1"/>
  <c r="CJ111" i="1"/>
  <c r="CH111" i="1"/>
  <c r="CJ110" i="1"/>
  <c r="CH110" i="1"/>
  <c r="CJ109" i="1"/>
  <c r="CH109" i="1"/>
  <c r="CJ108" i="1"/>
  <c r="CH108" i="1"/>
  <c r="CJ107" i="1"/>
  <c r="CH107" i="1"/>
  <c r="CJ106" i="1"/>
  <c r="CH106" i="1"/>
  <c r="CJ104" i="1"/>
  <c r="CH104" i="1"/>
  <c r="CJ103" i="1"/>
  <c r="CH103" i="1"/>
  <c r="CJ101" i="1"/>
  <c r="CH101" i="1"/>
  <c r="CJ12" i="1"/>
  <c r="CH12" i="1"/>
  <c r="CJ99" i="1"/>
  <c r="CH99" i="1"/>
  <c r="CJ98" i="1"/>
  <c r="DN98" i="1" s="1"/>
  <c r="CH98" i="1"/>
  <c r="CJ97" i="1"/>
  <c r="CH97" i="1"/>
  <c r="CJ72" i="1"/>
  <c r="CH72" i="1"/>
  <c r="CJ96" i="1"/>
  <c r="CH96" i="1"/>
  <c r="CJ145" i="1"/>
  <c r="CH145" i="1"/>
  <c r="CJ11" i="1"/>
  <c r="CH11" i="1"/>
  <c r="CJ95" i="1"/>
  <c r="CH95" i="1"/>
  <c r="CJ93" i="1"/>
  <c r="CH93" i="1"/>
  <c r="CJ92" i="1"/>
  <c r="CH92" i="1"/>
  <c r="CJ91" i="1"/>
  <c r="CH91" i="1"/>
  <c r="CJ90" i="1"/>
  <c r="CH90" i="1"/>
  <c r="CJ89" i="1"/>
  <c r="CH89" i="1"/>
  <c r="CJ87" i="1"/>
  <c r="CH87" i="1"/>
  <c r="CJ86" i="1"/>
  <c r="CH86" i="1"/>
  <c r="CJ8" i="1"/>
  <c r="CH8" i="1"/>
  <c r="CJ85" i="1"/>
  <c r="CH85" i="1"/>
  <c r="CJ84" i="1"/>
  <c r="CH84" i="1"/>
  <c r="CJ82" i="1"/>
  <c r="CH82" i="1"/>
  <c r="CJ80" i="1"/>
  <c r="CH80" i="1"/>
  <c r="CJ79" i="1"/>
  <c r="CH79" i="1"/>
  <c r="CJ78" i="1"/>
  <c r="CH78" i="1"/>
  <c r="CJ77" i="1"/>
  <c r="CH77" i="1"/>
  <c r="CJ76" i="1"/>
  <c r="CH76" i="1"/>
  <c r="CJ75" i="1"/>
  <c r="CH75" i="1"/>
  <c r="CJ9" i="1"/>
  <c r="CH9" i="1"/>
  <c r="CJ74" i="1"/>
  <c r="CH74" i="1"/>
  <c r="CJ73" i="1"/>
  <c r="CH73" i="1"/>
  <c r="CJ71" i="1"/>
  <c r="CH71" i="1"/>
  <c r="CJ70" i="1"/>
  <c r="CH70" i="1"/>
  <c r="CJ69" i="1"/>
  <c r="CH69" i="1"/>
  <c r="CJ68" i="1"/>
  <c r="CH68" i="1"/>
  <c r="CJ67" i="1"/>
  <c r="CH67" i="1"/>
  <c r="CJ66" i="1"/>
  <c r="CH66" i="1"/>
  <c r="CJ65" i="1"/>
  <c r="DP65" i="1" s="1"/>
  <c r="CH65" i="1"/>
  <c r="CJ48" i="1"/>
  <c r="CH48" i="1"/>
  <c r="CJ63" i="1"/>
  <c r="CH63" i="1"/>
  <c r="CJ62" i="1"/>
  <c r="CH62" i="1"/>
  <c r="CJ60" i="1"/>
  <c r="CH60" i="1"/>
  <c r="CJ59" i="1"/>
  <c r="CH59" i="1"/>
  <c r="CJ58" i="1"/>
  <c r="CH58" i="1"/>
  <c r="CJ54" i="1"/>
  <c r="CH54" i="1"/>
  <c r="CJ52" i="1"/>
  <c r="CH52" i="1"/>
  <c r="CJ51" i="1"/>
  <c r="CH51" i="1"/>
  <c r="CJ50" i="1"/>
  <c r="CH50" i="1"/>
  <c r="CJ123" i="1"/>
  <c r="CH123" i="1"/>
  <c r="CJ6" i="1"/>
  <c r="CH6" i="1"/>
  <c r="CJ47" i="1"/>
  <c r="CH47" i="1"/>
  <c r="CJ46" i="1"/>
  <c r="CH46" i="1"/>
  <c r="CJ44" i="1"/>
  <c r="CH44" i="1"/>
  <c r="CJ42" i="1"/>
  <c r="CH42" i="1"/>
  <c r="CJ41" i="1"/>
  <c r="CH41" i="1"/>
  <c r="CJ40" i="1"/>
  <c r="CH40" i="1"/>
  <c r="CJ39" i="1"/>
  <c r="CH39" i="1"/>
  <c r="CJ38" i="1"/>
  <c r="CH38" i="1"/>
  <c r="CJ37" i="1"/>
  <c r="CH37" i="1"/>
  <c r="CJ36" i="1"/>
  <c r="CH36" i="1"/>
  <c r="CJ35" i="1"/>
  <c r="CH35" i="1"/>
  <c r="CJ34" i="1"/>
  <c r="CH34" i="1"/>
  <c r="CJ33" i="1"/>
  <c r="CH33" i="1"/>
  <c r="CJ32" i="1"/>
  <c r="CH32" i="1"/>
  <c r="CJ83" i="1"/>
  <c r="CH83" i="1"/>
  <c r="CJ30" i="1"/>
  <c r="CH30" i="1"/>
  <c r="CJ28" i="1"/>
  <c r="CH28" i="1"/>
  <c r="CJ27" i="1"/>
  <c r="CH27" i="1"/>
  <c r="CJ26" i="1"/>
  <c r="DN26" i="1" s="1"/>
  <c r="CH26" i="1"/>
  <c r="CJ25" i="1"/>
  <c r="CH25" i="1"/>
  <c r="CJ24" i="1"/>
  <c r="CH24" i="1"/>
  <c r="CJ23" i="1"/>
  <c r="CH23" i="1"/>
  <c r="CJ142" i="1"/>
  <c r="DP142" i="1" s="1"/>
  <c r="CH142" i="1"/>
  <c r="CJ22" i="1"/>
  <c r="CH22" i="1"/>
  <c r="CJ21" i="1"/>
  <c r="CH21" i="1"/>
  <c r="CJ20" i="1"/>
  <c r="CH20" i="1"/>
  <c r="CJ19" i="1"/>
  <c r="CH19" i="1"/>
  <c r="CJ18" i="1"/>
  <c r="DK18" i="1" s="1"/>
  <c r="CH18" i="1"/>
  <c r="CJ17" i="1"/>
  <c r="CH17" i="1"/>
  <c r="CJ16" i="1"/>
  <c r="CH16" i="1"/>
  <c r="CJ15" i="1"/>
  <c r="CH15" i="1"/>
  <c r="CJ88" i="1"/>
  <c r="CH88" i="1"/>
  <c r="CJ81" i="1"/>
  <c r="CH81" i="1"/>
  <c r="CJ7" i="1"/>
  <c r="CH7" i="1"/>
  <c r="CJ64" i="1"/>
  <c r="CH64" i="1"/>
  <c r="CJ43" i="1"/>
  <c r="CH43" i="1"/>
  <c r="CC334" i="1"/>
  <c r="BU334" i="1"/>
  <c r="DG334" i="1" s="1"/>
  <c r="BM334" i="1"/>
  <c r="CC333" i="1"/>
  <c r="BU333" i="1"/>
  <c r="BM333" i="1"/>
  <c r="CC332" i="1"/>
  <c r="BU332" i="1"/>
  <c r="BM332" i="1"/>
  <c r="CC331" i="1"/>
  <c r="BU331" i="1"/>
  <c r="BM331" i="1"/>
  <c r="CC330" i="1"/>
  <c r="BU330" i="1"/>
  <c r="BM330" i="1"/>
  <c r="CC329" i="1"/>
  <c r="BU329" i="1"/>
  <c r="BM329" i="1"/>
  <c r="CC328" i="1"/>
  <c r="BU328" i="1"/>
  <c r="BM328" i="1"/>
  <c r="CC327" i="1"/>
  <c r="BU327" i="1"/>
  <c r="BM327" i="1"/>
  <c r="CC326" i="1"/>
  <c r="BU326" i="1"/>
  <c r="DG326" i="1" s="1"/>
  <c r="BM326" i="1"/>
  <c r="CC325" i="1"/>
  <c r="BU325" i="1"/>
  <c r="BM325" i="1"/>
  <c r="CC324" i="1"/>
  <c r="BU324" i="1"/>
  <c r="BM324" i="1"/>
  <c r="CC323" i="1"/>
  <c r="BU323" i="1"/>
  <c r="DG323" i="1" s="1"/>
  <c r="BM323" i="1"/>
  <c r="CC322" i="1"/>
  <c r="BU322" i="1"/>
  <c r="DG322" i="1" s="1"/>
  <c r="BM322" i="1"/>
  <c r="CC321" i="1"/>
  <c r="BU321" i="1"/>
  <c r="BM321" i="1"/>
  <c r="CC320" i="1"/>
  <c r="BU320" i="1"/>
  <c r="BM320" i="1"/>
  <c r="CC319" i="1"/>
  <c r="BU319" i="1"/>
  <c r="BM319" i="1"/>
  <c r="CC318" i="1"/>
  <c r="BU318" i="1"/>
  <c r="BM318" i="1"/>
  <c r="CC317" i="1"/>
  <c r="BU317" i="1"/>
  <c r="BM317" i="1"/>
  <c r="CC316" i="1"/>
  <c r="BU316" i="1"/>
  <c r="BM316" i="1"/>
  <c r="CC315" i="1"/>
  <c r="BU315" i="1"/>
  <c r="BM315" i="1"/>
  <c r="CC140" i="1"/>
  <c r="BU140" i="1"/>
  <c r="BM140" i="1"/>
  <c r="CC314" i="1"/>
  <c r="BU314" i="1"/>
  <c r="BM314" i="1"/>
  <c r="CC313" i="1"/>
  <c r="BU313" i="1"/>
  <c r="BM313" i="1"/>
  <c r="CC312" i="1"/>
  <c r="BU312" i="1"/>
  <c r="BM312" i="1"/>
  <c r="CC311" i="1"/>
  <c r="BU311" i="1"/>
  <c r="BM311" i="1"/>
  <c r="CC310" i="1"/>
  <c r="BU310" i="1"/>
  <c r="BM310" i="1"/>
  <c r="CC309" i="1"/>
  <c r="BU309" i="1"/>
  <c r="BM309" i="1"/>
  <c r="CC308" i="1"/>
  <c r="BU308" i="1"/>
  <c r="BM308" i="1"/>
  <c r="CC307" i="1"/>
  <c r="BU307" i="1"/>
  <c r="BM307" i="1"/>
  <c r="CC306" i="1"/>
  <c r="BU306" i="1"/>
  <c r="BM306" i="1"/>
  <c r="CC305" i="1"/>
  <c r="BU305" i="1"/>
  <c r="BM305" i="1"/>
  <c r="CC304" i="1"/>
  <c r="BU304" i="1"/>
  <c r="DG304" i="1" s="1"/>
  <c r="BM304" i="1"/>
  <c r="CC303" i="1"/>
  <c r="BU303" i="1"/>
  <c r="BM303" i="1"/>
  <c r="CC302" i="1"/>
  <c r="BU302" i="1"/>
  <c r="BM302" i="1"/>
  <c r="CC301" i="1"/>
  <c r="BU301" i="1"/>
  <c r="BM301" i="1"/>
  <c r="CC300" i="1"/>
  <c r="BU300" i="1"/>
  <c r="BM300" i="1"/>
  <c r="CC299" i="1"/>
  <c r="BU299" i="1"/>
  <c r="DG299" i="1" s="1"/>
  <c r="BM299" i="1"/>
  <c r="CC298" i="1"/>
  <c r="BU298" i="1"/>
  <c r="BM298" i="1"/>
  <c r="CC297" i="1"/>
  <c r="BU297" i="1"/>
  <c r="BM297" i="1"/>
  <c r="CC296" i="1"/>
  <c r="BU296" i="1"/>
  <c r="BM296" i="1"/>
  <c r="CC295" i="1"/>
  <c r="BU295" i="1"/>
  <c r="BM295" i="1"/>
  <c r="CC294" i="1"/>
  <c r="BU294" i="1"/>
  <c r="BM294" i="1"/>
  <c r="CC293" i="1"/>
  <c r="BU293" i="1"/>
  <c r="BM293" i="1"/>
  <c r="CC292" i="1"/>
  <c r="BU292" i="1"/>
  <c r="BM292" i="1"/>
  <c r="CC291" i="1"/>
  <c r="BU291" i="1"/>
  <c r="BM291" i="1"/>
  <c r="CC290" i="1"/>
  <c r="BU290" i="1"/>
  <c r="BM290" i="1"/>
  <c r="CC289" i="1"/>
  <c r="BU289" i="1"/>
  <c r="BM289" i="1"/>
  <c r="CC287" i="1"/>
  <c r="BU287" i="1"/>
  <c r="BM287" i="1"/>
  <c r="CC286" i="1"/>
  <c r="BU286" i="1"/>
  <c r="BM286" i="1"/>
  <c r="CC285" i="1"/>
  <c r="BU285" i="1"/>
  <c r="DG285" i="1" s="1"/>
  <c r="BM285" i="1"/>
  <c r="CC284" i="1"/>
  <c r="BU284" i="1"/>
  <c r="BM284" i="1"/>
  <c r="CC283" i="1"/>
  <c r="BU283" i="1"/>
  <c r="BM283" i="1"/>
  <c r="CC282" i="1"/>
  <c r="BU282" i="1"/>
  <c r="BM282" i="1"/>
  <c r="CC281" i="1"/>
  <c r="BU281" i="1"/>
  <c r="BM281" i="1"/>
  <c r="CC280" i="1"/>
  <c r="BU280" i="1"/>
  <c r="BM280" i="1"/>
  <c r="CC279" i="1"/>
  <c r="BU279" i="1"/>
  <c r="BM279" i="1"/>
  <c r="CC278" i="1"/>
  <c r="BU278" i="1"/>
  <c r="BM278" i="1"/>
  <c r="CC277" i="1"/>
  <c r="BU277" i="1"/>
  <c r="BM277" i="1"/>
  <c r="CC276" i="1"/>
  <c r="BU276" i="1"/>
  <c r="BM276" i="1"/>
  <c r="CC275" i="1"/>
  <c r="BU275" i="1"/>
  <c r="DG275" i="1" s="1"/>
  <c r="BM275" i="1"/>
  <c r="CC274" i="1"/>
  <c r="BU274" i="1"/>
  <c r="BM274" i="1"/>
  <c r="CC273" i="1"/>
  <c r="BU273" i="1"/>
  <c r="BM273" i="1"/>
  <c r="CC272" i="1"/>
  <c r="BU272" i="1"/>
  <c r="BM272" i="1"/>
  <c r="CC271" i="1"/>
  <c r="BU271" i="1"/>
  <c r="BM271" i="1"/>
  <c r="CC270" i="1"/>
  <c r="BU270" i="1"/>
  <c r="DG270" i="1" s="1"/>
  <c r="BM270" i="1"/>
  <c r="CC269" i="1"/>
  <c r="BU269" i="1"/>
  <c r="BM269" i="1"/>
  <c r="CC268" i="1"/>
  <c r="BU268" i="1"/>
  <c r="BM268" i="1"/>
  <c r="CC267" i="1"/>
  <c r="BU267" i="1"/>
  <c r="DG267" i="1" s="1"/>
  <c r="BM267" i="1"/>
  <c r="CC266" i="1"/>
  <c r="BU266" i="1"/>
  <c r="DG266" i="1" s="1"/>
  <c r="BM266" i="1"/>
  <c r="CC265" i="1"/>
  <c r="BU265" i="1"/>
  <c r="BM265" i="1"/>
  <c r="CC264" i="1"/>
  <c r="BU264" i="1"/>
  <c r="BM264" i="1"/>
  <c r="CC263" i="1"/>
  <c r="BU263" i="1"/>
  <c r="BM263" i="1"/>
  <c r="CC262" i="1"/>
  <c r="BU262" i="1"/>
  <c r="DG262" i="1" s="1"/>
  <c r="BM262" i="1"/>
  <c r="CC261" i="1"/>
  <c r="BU261" i="1"/>
  <c r="BM261" i="1"/>
  <c r="CC260" i="1"/>
  <c r="BU260" i="1"/>
  <c r="BM260" i="1"/>
  <c r="CC259" i="1"/>
  <c r="BU259" i="1"/>
  <c r="BM259" i="1"/>
  <c r="CC258" i="1"/>
  <c r="BU258" i="1"/>
  <c r="BM258" i="1"/>
  <c r="CC257" i="1"/>
  <c r="BU257" i="1"/>
  <c r="BM257" i="1"/>
  <c r="CC256" i="1"/>
  <c r="BU256" i="1"/>
  <c r="BM256" i="1"/>
  <c r="CC255" i="1"/>
  <c r="BU255" i="1"/>
  <c r="BM255" i="1"/>
  <c r="CC254" i="1"/>
  <c r="BU254" i="1"/>
  <c r="BM254" i="1"/>
  <c r="CC253" i="1"/>
  <c r="BU253" i="1"/>
  <c r="BM253" i="1"/>
  <c r="CC252" i="1"/>
  <c r="BU252" i="1"/>
  <c r="BM252" i="1"/>
  <c r="CC251" i="1"/>
  <c r="BU251" i="1"/>
  <c r="BM251" i="1"/>
  <c r="CC250" i="1"/>
  <c r="BU250" i="1"/>
  <c r="BM250" i="1"/>
  <c r="CC249" i="1"/>
  <c r="BU249" i="1"/>
  <c r="BM249" i="1"/>
  <c r="CC248" i="1"/>
  <c r="BU248" i="1"/>
  <c r="BM248" i="1"/>
  <c r="CC247" i="1"/>
  <c r="BU247" i="1"/>
  <c r="BM247" i="1"/>
  <c r="CC246" i="1"/>
  <c r="BU246" i="1"/>
  <c r="BM246" i="1"/>
  <c r="CC245" i="1"/>
  <c r="BU245" i="1"/>
  <c r="BM245" i="1"/>
  <c r="CC244" i="1"/>
  <c r="BU244" i="1"/>
  <c r="BM244" i="1"/>
  <c r="CC243" i="1"/>
  <c r="BU243" i="1"/>
  <c r="BM243" i="1"/>
  <c r="CC242" i="1"/>
  <c r="BU242" i="1"/>
  <c r="BM242" i="1"/>
  <c r="CC241" i="1"/>
  <c r="BU241" i="1"/>
  <c r="BM241" i="1"/>
  <c r="CC240" i="1"/>
  <c r="BU240" i="1"/>
  <c r="BM240" i="1"/>
  <c r="CC239" i="1"/>
  <c r="BU239" i="1"/>
  <c r="BM239" i="1"/>
  <c r="CC238" i="1"/>
  <c r="BU238" i="1"/>
  <c r="BM238" i="1"/>
  <c r="CC237" i="1"/>
  <c r="BU237" i="1"/>
  <c r="BM237" i="1"/>
  <c r="CC236" i="1"/>
  <c r="BU236" i="1"/>
  <c r="BM236" i="1"/>
  <c r="CC235" i="1"/>
  <c r="BU235" i="1"/>
  <c r="BM235" i="1"/>
  <c r="CC234" i="1"/>
  <c r="BU234" i="1"/>
  <c r="DG234" i="1" s="1"/>
  <c r="BM234" i="1"/>
  <c r="CC233" i="1"/>
  <c r="BU233" i="1"/>
  <c r="BM233" i="1"/>
  <c r="CC232" i="1"/>
  <c r="BU232" i="1"/>
  <c r="BM232" i="1"/>
  <c r="CC231" i="1"/>
  <c r="BU231" i="1"/>
  <c r="DG231" i="1" s="1"/>
  <c r="BM231" i="1"/>
  <c r="CC230" i="1"/>
  <c r="BU230" i="1"/>
  <c r="BM230" i="1"/>
  <c r="CC229" i="1"/>
  <c r="BU229" i="1"/>
  <c r="BM229" i="1"/>
  <c r="CC228" i="1"/>
  <c r="BU228" i="1"/>
  <c r="BM228" i="1"/>
  <c r="CC227" i="1"/>
  <c r="BU227" i="1"/>
  <c r="BM227" i="1"/>
  <c r="CC226" i="1"/>
  <c r="BU226" i="1"/>
  <c r="BM226" i="1"/>
  <c r="CC225" i="1"/>
  <c r="BU225" i="1"/>
  <c r="BM225" i="1"/>
  <c r="CC224" i="1"/>
  <c r="BU224" i="1"/>
  <c r="BM224" i="1"/>
  <c r="CC223" i="1"/>
  <c r="BU223" i="1"/>
  <c r="BM223" i="1"/>
  <c r="CC222" i="1"/>
  <c r="BU222" i="1"/>
  <c r="BM222" i="1"/>
  <c r="CC221" i="1"/>
  <c r="BU221" i="1"/>
  <c r="BM221" i="1"/>
  <c r="CC220" i="1"/>
  <c r="BU220" i="1"/>
  <c r="BM220" i="1"/>
  <c r="CC219" i="1"/>
  <c r="BU219" i="1"/>
  <c r="BM219" i="1"/>
  <c r="CC218" i="1"/>
  <c r="BU218" i="1"/>
  <c r="BM218" i="1"/>
  <c r="CC217" i="1"/>
  <c r="BU217" i="1"/>
  <c r="BM217" i="1"/>
  <c r="CC216" i="1"/>
  <c r="BU216" i="1"/>
  <c r="DG216" i="1" s="1"/>
  <c r="BM216" i="1"/>
  <c r="CC215" i="1"/>
  <c r="BU215" i="1"/>
  <c r="BM215" i="1"/>
  <c r="CC214" i="1"/>
  <c r="BU214" i="1"/>
  <c r="BM214" i="1"/>
  <c r="CC213" i="1"/>
  <c r="BU213" i="1"/>
  <c r="BM213" i="1"/>
  <c r="CC212" i="1"/>
  <c r="BU212" i="1"/>
  <c r="DG212" i="1" s="1"/>
  <c r="BM212" i="1"/>
  <c r="CC211" i="1"/>
  <c r="BU211" i="1"/>
  <c r="BM211" i="1"/>
  <c r="CC210" i="1"/>
  <c r="BU210" i="1"/>
  <c r="BM210" i="1"/>
  <c r="CC209" i="1"/>
  <c r="BU209" i="1"/>
  <c r="BM209" i="1"/>
  <c r="CC208" i="1"/>
  <c r="BU208" i="1"/>
  <c r="BM208" i="1"/>
  <c r="CC207" i="1"/>
  <c r="BU207" i="1"/>
  <c r="BM207" i="1"/>
  <c r="CC206" i="1"/>
  <c r="BU206" i="1"/>
  <c r="BM206" i="1"/>
  <c r="CC205" i="1"/>
  <c r="BU205" i="1"/>
  <c r="BM205" i="1"/>
  <c r="CC204" i="1"/>
  <c r="BU204" i="1"/>
  <c r="BM204" i="1"/>
  <c r="CC203" i="1"/>
  <c r="BU203" i="1"/>
  <c r="BM203" i="1"/>
  <c r="CC202" i="1"/>
  <c r="BU202" i="1"/>
  <c r="BM202" i="1"/>
  <c r="CC201" i="1"/>
  <c r="BU201" i="1"/>
  <c r="BM201" i="1"/>
  <c r="CC200" i="1"/>
  <c r="BU200" i="1"/>
  <c r="BM200" i="1"/>
  <c r="CC199" i="1"/>
  <c r="BU199" i="1"/>
  <c r="DG199" i="1" s="1"/>
  <c r="BM199" i="1"/>
  <c r="CC198" i="1"/>
  <c r="BU198" i="1"/>
  <c r="BM198" i="1"/>
  <c r="CC197" i="1"/>
  <c r="BU197" i="1"/>
  <c r="BM197" i="1"/>
  <c r="CC196" i="1"/>
  <c r="BU196" i="1"/>
  <c r="BM196" i="1"/>
  <c r="CC195" i="1"/>
  <c r="BU195" i="1"/>
  <c r="BM195" i="1"/>
  <c r="CC194" i="1"/>
  <c r="BU194" i="1"/>
  <c r="BM194" i="1"/>
  <c r="CC193" i="1"/>
  <c r="BU193" i="1"/>
  <c r="BM193" i="1"/>
  <c r="CC192" i="1"/>
  <c r="BU192" i="1"/>
  <c r="DG192" i="1" s="1"/>
  <c r="BM192" i="1"/>
  <c r="CC191" i="1"/>
  <c r="BU191" i="1"/>
  <c r="BM191" i="1"/>
  <c r="CC190" i="1"/>
  <c r="BU190" i="1"/>
  <c r="BM190" i="1"/>
  <c r="CC189" i="1"/>
  <c r="BU189" i="1"/>
  <c r="BM189" i="1"/>
  <c r="CC188" i="1"/>
  <c r="BU188" i="1"/>
  <c r="BM188" i="1"/>
  <c r="CC187" i="1"/>
  <c r="BU187" i="1"/>
  <c r="BM187" i="1"/>
  <c r="CC186" i="1"/>
  <c r="BU186" i="1"/>
  <c r="BM186" i="1"/>
  <c r="CC185" i="1"/>
  <c r="BU185" i="1"/>
  <c r="BM185" i="1"/>
  <c r="CC184" i="1"/>
  <c r="BU184" i="1"/>
  <c r="BM184" i="1"/>
  <c r="CC183" i="1"/>
  <c r="BU183" i="1"/>
  <c r="DG183" i="1" s="1"/>
  <c r="BM183" i="1"/>
  <c r="CC182" i="1"/>
  <c r="BU182" i="1"/>
  <c r="BM182" i="1"/>
  <c r="CC181" i="1"/>
  <c r="BU181" i="1"/>
  <c r="DG181" i="1" s="1"/>
  <c r="BM181" i="1"/>
  <c r="CC180" i="1"/>
  <c r="BU180" i="1"/>
  <c r="BM180" i="1"/>
  <c r="CC179" i="1"/>
  <c r="BU179" i="1"/>
  <c r="DG179" i="1" s="1"/>
  <c r="BM179" i="1"/>
  <c r="CC178" i="1"/>
  <c r="BU178" i="1"/>
  <c r="BM178" i="1"/>
  <c r="CC177" i="1"/>
  <c r="BU177" i="1"/>
  <c r="BM177" i="1"/>
  <c r="CC31" i="1"/>
  <c r="BU31" i="1"/>
  <c r="BM31" i="1"/>
  <c r="CC176" i="1"/>
  <c r="BU176" i="1"/>
  <c r="BM176" i="1"/>
  <c r="CC175" i="1"/>
  <c r="BU175" i="1"/>
  <c r="BM175" i="1"/>
  <c r="CC174" i="1"/>
  <c r="BU174" i="1"/>
  <c r="BM174" i="1"/>
  <c r="CC173" i="1"/>
  <c r="BU173" i="1"/>
  <c r="BM173" i="1"/>
  <c r="CC172" i="1"/>
  <c r="BU172" i="1"/>
  <c r="DG172" i="1" s="1"/>
  <c r="BM172" i="1"/>
  <c r="CC171" i="1"/>
  <c r="BU171" i="1"/>
  <c r="BM171" i="1"/>
  <c r="CC170" i="1"/>
  <c r="BU170" i="1"/>
  <c r="DG170" i="1" s="1"/>
  <c r="BM170" i="1"/>
  <c r="CC169" i="1"/>
  <c r="BU169" i="1"/>
  <c r="BM169" i="1"/>
  <c r="CC168" i="1"/>
  <c r="BU168" i="1"/>
  <c r="BM168" i="1"/>
  <c r="CC167" i="1"/>
  <c r="BU167" i="1"/>
  <c r="BM167" i="1"/>
  <c r="CC166" i="1"/>
  <c r="BU166" i="1"/>
  <c r="BM166" i="1"/>
  <c r="CC165" i="1"/>
  <c r="BU165" i="1"/>
  <c r="BM165" i="1"/>
  <c r="CC164" i="1"/>
  <c r="BU164" i="1"/>
  <c r="BM164" i="1"/>
  <c r="CC163" i="1"/>
  <c r="BU163" i="1"/>
  <c r="BM163" i="1"/>
  <c r="CC162" i="1"/>
  <c r="BU162" i="1"/>
  <c r="BM162" i="1"/>
  <c r="CC161" i="1"/>
  <c r="BU161" i="1"/>
  <c r="BM161" i="1"/>
  <c r="CC160" i="1"/>
  <c r="BU160" i="1"/>
  <c r="BM160" i="1"/>
  <c r="CC159" i="1"/>
  <c r="BU159" i="1"/>
  <c r="BM159" i="1"/>
  <c r="CC158" i="1"/>
  <c r="BU158" i="1"/>
  <c r="BM158" i="1"/>
  <c r="CC157" i="1"/>
  <c r="BU157" i="1"/>
  <c r="BM157" i="1"/>
  <c r="CC156" i="1"/>
  <c r="BU156" i="1"/>
  <c r="BM156" i="1"/>
  <c r="CC152" i="1"/>
  <c r="BU152" i="1"/>
  <c r="BM152" i="1"/>
  <c r="CC150" i="1"/>
  <c r="BU150" i="1"/>
  <c r="BM150" i="1"/>
  <c r="CC14" i="1"/>
  <c r="BU14" i="1"/>
  <c r="BM14" i="1"/>
  <c r="CC149" i="1"/>
  <c r="BU149" i="1"/>
  <c r="BM149" i="1"/>
  <c r="CC148" i="1"/>
  <c r="BU148" i="1"/>
  <c r="BM148" i="1"/>
  <c r="CC147" i="1"/>
  <c r="BU147" i="1"/>
  <c r="BM147" i="1"/>
  <c r="CC146" i="1"/>
  <c r="BU146" i="1"/>
  <c r="DG146" i="1" s="1"/>
  <c r="BM146" i="1"/>
  <c r="DJ146" i="1" s="1"/>
  <c r="CC144" i="1"/>
  <c r="BU144" i="1"/>
  <c r="BM144" i="1"/>
  <c r="CC143" i="1"/>
  <c r="BU143" i="1"/>
  <c r="BM143" i="1"/>
  <c r="CC141" i="1"/>
  <c r="BU141" i="1"/>
  <c r="DG141" i="1" s="1"/>
  <c r="BM141" i="1"/>
  <c r="CC139" i="1"/>
  <c r="BU139" i="1"/>
  <c r="BM139" i="1"/>
  <c r="CC138" i="1"/>
  <c r="BU138" i="1"/>
  <c r="BM138" i="1"/>
  <c r="CC137" i="1"/>
  <c r="BU137" i="1"/>
  <c r="BM137" i="1"/>
  <c r="CC136" i="1"/>
  <c r="BU136" i="1"/>
  <c r="BM136" i="1"/>
  <c r="CC135" i="1"/>
  <c r="BU135" i="1"/>
  <c r="BM135" i="1"/>
  <c r="CC134" i="1"/>
  <c r="BU134" i="1"/>
  <c r="DF134" i="1" s="1"/>
  <c r="BM134" i="1"/>
  <c r="CC132" i="1"/>
  <c r="BU132" i="1"/>
  <c r="BM132" i="1"/>
  <c r="CC131" i="1"/>
  <c r="BU131" i="1"/>
  <c r="BM131" i="1"/>
  <c r="CC129" i="1"/>
  <c r="BU129" i="1"/>
  <c r="BM129" i="1"/>
  <c r="CC13" i="1"/>
  <c r="BU13" i="1"/>
  <c r="BM13" i="1"/>
  <c r="CC127" i="1"/>
  <c r="BU127" i="1"/>
  <c r="BM127" i="1"/>
  <c r="CC126" i="1"/>
  <c r="BU126" i="1"/>
  <c r="BM126" i="1"/>
  <c r="CC125" i="1"/>
  <c r="BU125" i="1"/>
  <c r="BM125" i="1"/>
  <c r="CC124" i="1"/>
  <c r="BU124" i="1"/>
  <c r="BM124" i="1"/>
  <c r="CC122" i="1"/>
  <c r="BU122" i="1"/>
  <c r="BM122" i="1"/>
  <c r="CC121" i="1"/>
  <c r="BU121" i="1"/>
  <c r="BM121" i="1"/>
  <c r="CC120" i="1"/>
  <c r="BU120" i="1"/>
  <c r="BM120" i="1"/>
  <c r="CC119" i="1"/>
  <c r="BU119" i="1"/>
  <c r="BM119" i="1"/>
  <c r="CC288" i="1"/>
  <c r="BU288" i="1"/>
  <c r="BM288" i="1"/>
  <c r="CC118" i="1"/>
  <c r="BU118" i="1"/>
  <c r="BM118" i="1"/>
  <c r="CC117" i="1"/>
  <c r="BU117" i="1"/>
  <c r="BM117" i="1"/>
  <c r="CC116" i="1"/>
  <c r="BU116" i="1"/>
  <c r="BM116" i="1"/>
  <c r="CC115" i="1"/>
  <c r="BU115" i="1"/>
  <c r="BM115" i="1"/>
  <c r="CC114" i="1"/>
  <c r="BU114" i="1"/>
  <c r="BM114" i="1"/>
  <c r="CC113" i="1"/>
  <c r="BU113" i="1"/>
  <c r="BM113" i="1"/>
  <c r="CC112" i="1"/>
  <c r="BU112" i="1"/>
  <c r="BM112" i="1"/>
  <c r="CC111" i="1"/>
  <c r="BU111" i="1"/>
  <c r="BM111" i="1"/>
  <c r="CC110" i="1"/>
  <c r="BU110" i="1"/>
  <c r="BM110" i="1"/>
  <c r="CC109" i="1"/>
  <c r="BU109" i="1"/>
  <c r="BM109" i="1"/>
  <c r="CC108" i="1"/>
  <c r="BU108" i="1"/>
  <c r="BM108" i="1"/>
  <c r="CC107" i="1"/>
  <c r="BU107" i="1"/>
  <c r="DG107" i="1" s="1"/>
  <c r="BM107" i="1"/>
  <c r="CC106" i="1"/>
  <c r="BU106" i="1"/>
  <c r="BM106" i="1"/>
  <c r="CC104" i="1"/>
  <c r="BU104" i="1"/>
  <c r="BM104" i="1"/>
  <c r="CC103" i="1"/>
  <c r="BU103" i="1"/>
  <c r="BM103" i="1"/>
  <c r="CC101" i="1"/>
  <c r="BU101" i="1"/>
  <c r="BM101" i="1"/>
  <c r="CC12" i="1"/>
  <c r="BU12" i="1"/>
  <c r="BM12" i="1"/>
  <c r="CC99" i="1"/>
  <c r="BU99" i="1"/>
  <c r="BM99" i="1"/>
  <c r="CC98" i="1"/>
  <c r="BU98" i="1"/>
  <c r="BM98" i="1"/>
  <c r="CC97" i="1"/>
  <c r="BU97" i="1"/>
  <c r="BM97" i="1"/>
  <c r="CC72" i="1"/>
  <c r="BU72" i="1"/>
  <c r="DG72" i="1" s="1"/>
  <c r="BM72" i="1"/>
  <c r="DJ72" i="1" s="1"/>
  <c r="CC96" i="1"/>
  <c r="BU96" i="1"/>
  <c r="BM96" i="1"/>
  <c r="CC145" i="1"/>
  <c r="BU145" i="1"/>
  <c r="BM145" i="1"/>
  <c r="CC11" i="1"/>
  <c r="BU11" i="1"/>
  <c r="BM11" i="1"/>
  <c r="CC95" i="1"/>
  <c r="BU95" i="1"/>
  <c r="BM95" i="1"/>
  <c r="CC93" i="1"/>
  <c r="BU93" i="1"/>
  <c r="BM93" i="1"/>
  <c r="CC92" i="1"/>
  <c r="BU92" i="1"/>
  <c r="BM92" i="1"/>
  <c r="CC91" i="1"/>
  <c r="BU91" i="1"/>
  <c r="BM91" i="1"/>
  <c r="CC90" i="1"/>
  <c r="BU90" i="1"/>
  <c r="BM90" i="1"/>
  <c r="CC89" i="1"/>
  <c r="BU89" i="1"/>
  <c r="BM89" i="1"/>
  <c r="CC87" i="1"/>
  <c r="BU87" i="1"/>
  <c r="BM87" i="1"/>
  <c r="CC86" i="1"/>
  <c r="BU86" i="1"/>
  <c r="BM86" i="1"/>
  <c r="CC8" i="1"/>
  <c r="BU8" i="1"/>
  <c r="BM8" i="1"/>
  <c r="CC85" i="1"/>
  <c r="BU85" i="1"/>
  <c r="BM85" i="1"/>
  <c r="CC84" i="1"/>
  <c r="BU84" i="1"/>
  <c r="BM84" i="1"/>
  <c r="CC82" i="1"/>
  <c r="BU82" i="1"/>
  <c r="BM82" i="1"/>
  <c r="CC80" i="1"/>
  <c r="BU80" i="1"/>
  <c r="BM80" i="1"/>
  <c r="CC79" i="1"/>
  <c r="BU79" i="1"/>
  <c r="BM79" i="1"/>
  <c r="CC78" i="1"/>
  <c r="BU78" i="1"/>
  <c r="BM78" i="1"/>
  <c r="CC77" i="1"/>
  <c r="BU77" i="1"/>
  <c r="BM77" i="1"/>
  <c r="CC76" i="1"/>
  <c r="BU76" i="1"/>
  <c r="BM76" i="1"/>
  <c r="CC75" i="1"/>
  <c r="BU75" i="1"/>
  <c r="BM75" i="1"/>
  <c r="CC9" i="1"/>
  <c r="BU9" i="1"/>
  <c r="BM9" i="1"/>
  <c r="CC74" i="1"/>
  <c r="BU74" i="1"/>
  <c r="BM74" i="1"/>
  <c r="CC73" i="1"/>
  <c r="BU73" i="1"/>
  <c r="BM73" i="1"/>
  <c r="CC71" i="1"/>
  <c r="BU71" i="1"/>
  <c r="BM71" i="1"/>
  <c r="CC70" i="1"/>
  <c r="BU70" i="1"/>
  <c r="BM70" i="1"/>
  <c r="CC69" i="1"/>
  <c r="BU69" i="1"/>
  <c r="BM69" i="1"/>
  <c r="CC68" i="1"/>
  <c r="BU68" i="1"/>
  <c r="BM68" i="1"/>
  <c r="CC67" i="1"/>
  <c r="BU67" i="1"/>
  <c r="BM67" i="1"/>
  <c r="CC66" i="1"/>
  <c r="BU66" i="1"/>
  <c r="DG66" i="1" s="1"/>
  <c r="BM66" i="1"/>
  <c r="CC65" i="1"/>
  <c r="BU65" i="1"/>
  <c r="BM65" i="1"/>
  <c r="CC48" i="1"/>
  <c r="BU48" i="1"/>
  <c r="BM48" i="1"/>
  <c r="CC63" i="1"/>
  <c r="BU63" i="1"/>
  <c r="BM63" i="1"/>
  <c r="CC62" i="1"/>
  <c r="BU62" i="1"/>
  <c r="BM62" i="1"/>
  <c r="CC60" i="1"/>
  <c r="BU60" i="1"/>
  <c r="BM60" i="1"/>
  <c r="CC59" i="1"/>
  <c r="BU59" i="1"/>
  <c r="BM59" i="1"/>
  <c r="CC58" i="1"/>
  <c r="BU58" i="1"/>
  <c r="BM58" i="1"/>
  <c r="CC54" i="1"/>
  <c r="BU54" i="1"/>
  <c r="BM54" i="1"/>
  <c r="CC52" i="1"/>
  <c r="BU52" i="1"/>
  <c r="BM52" i="1"/>
  <c r="CC51" i="1"/>
  <c r="BU51" i="1"/>
  <c r="BM51" i="1"/>
  <c r="CC50" i="1"/>
  <c r="BU50" i="1"/>
  <c r="BM50" i="1"/>
  <c r="CC123" i="1"/>
  <c r="BU123" i="1"/>
  <c r="BM123" i="1"/>
  <c r="CC6" i="1"/>
  <c r="BU6" i="1"/>
  <c r="BM6" i="1"/>
  <c r="CC47" i="1"/>
  <c r="BU47" i="1"/>
  <c r="BM47" i="1"/>
  <c r="CC46" i="1"/>
  <c r="BU46" i="1"/>
  <c r="BM46" i="1"/>
  <c r="CC44" i="1"/>
  <c r="BU44" i="1"/>
  <c r="BM44" i="1"/>
  <c r="CC42" i="1"/>
  <c r="BU42" i="1"/>
  <c r="BM42" i="1"/>
  <c r="CC41" i="1"/>
  <c r="BU41" i="1"/>
  <c r="BM41" i="1"/>
  <c r="CC40" i="1"/>
  <c r="BU40" i="1"/>
  <c r="BM40" i="1"/>
  <c r="CC39" i="1"/>
  <c r="BU39" i="1"/>
  <c r="BM39" i="1"/>
  <c r="CC38" i="1"/>
  <c r="BU38" i="1"/>
  <c r="BM38" i="1"/>
  <c r="CC37" i="1"/>
  <c r="BU37" i="1"/>
  <c r="DG37" i="1" s="1"/>
  <c r="BM37" i="1"/>
  <c r="CC36" i="1"/>
  <c r="BU36" i="1"/>
  <c r="BM36" i="1"/>
  <c r="CC35" i="1"/>
  <c r="BU35" i="1"/>
  <c r="BM35" i="1"/>
  <c r="CC34" i="1"/>
  <c r="BU34" i="1"/>
  <c r="BM34" i="1"/>
  <c r="CC33" i="1"/>
  <c r="BU33" i="1"/>
  <c r="BM33" i="1"/>
  <c r="CC32" i="1"/>
  <c r="BU32" i="1"/>
  <c r="BM32" i="1"/>
  <c r="CC83" i="1"/>
  <c r="BU83" i="1"/>
  <c r="BM83" i="1"/>
  <c r="CC30" i="1"/>
  <c r="BU30" i="1"/>
  <c r="BM30" i="1"/>
  <c r="CC28" i="1"/>
  <c r="BU28" i="1"/>
  <c r="BM28" i="1"/>
  <c r="CC27" i="1"/>
  <c r="BU27" i="1"/>
  <c r="BM27" i="1"/>
  <c r="CC26" i="1"/>
  <c r="BU26" i="1"/>
  <c r="BM26" i="1"/>
  <c r="CC25" i="1"/>
  <c r="BU25" i="1"/>
  <c r="BM25" i="1"/>
  <c r="CC24" i="1"/>
  <c r="BU24" i="1"/>
  <c r="BM24" i="1"/>
  <c r="CC23" i="1"/>
  <c r="BU23" i="1"/>
  <c r="BM23" i="1"/>
  <c r="CC142" i="1"/>
  <c r="BU142" i="1"/>
  <c r="BM142" i="1"/>
  <c r="CC22" i="1"/>
  <c r="BU22" i="1"/>
  <c r="BM22" i="1"/>
  <c r="CC21" i="1"/>
  <c r="BU21" i="1"/>
  <c r="BM21" i="1"/>
  <c r="CC20" i="1"/>
  <c r="BU20" i="1"/>
  <c r="BM20" i="1"/>
  <c r="CC19" i="1"/>
  <c r="BU19" i="1"/>
  <c r="BM19" i="1"/>
  <c r="CC18" i="1"/>
  <c r="BU18" i="1"/>
  <c r="BM18" i="1"/>
  <c r="CC17" i="1"/>
  <c r="BU17" i="1"/>
  <c r="BM17" i="1"/>
  <c r="CC16" i="1"/>
  <c r="BU16" i="1"/>
  <c r="BM16" i="1"/>
  <c r="CC15" i="1"/>
  <c r="BU15" i="1"/>
  <c r="BM15" i="1"/>
  <c r="CC88" i="1"/>
  <c r="BU88" i="1"/>
  <c r="BM88" i="1"/>
  <c r="CC81" i="1"/>
  <c r="BU81" i="1"/>
  <c r="BM81" i="1"/>
  <c r="CC7" i="1"/>
  <c r="BU7" i="1"/>
  <c r="BM7" i="1"/>
  <c r="CC64" i="1"/>
  <c r="BU64" i="1"/>
  <c r="BM64" i="1"/>
  <c r="CC43" i="1"/>
  <c r="BU43" i="1"/>
  <c r="BM43" i="1"/>
  <c r="AZ334" i="1"/>
  <c r="DE334" i="1" s="1"/>
  <c r="AY334" i="1"/>
  <c r="AX334" i="1"/>
  <c r="AZ333" i="1"/>
  <c r="DE333" i="1" s="1"/>
  <c r="AY333" i="1"/>
  <c r="AX333" i="1"/>
  <c r="AZ332" i="1"/>
  <c r="DE332" i="1" s="1"/>
  <c r="DA332" i="1" s="1"/>
  <c r="AY332" i="1"/>
  <c r="AX332" i="1"/>
  <c r="AZ331" i="1"/>
  <c r="DE331" i="1" s="1"/>
  <c r="AY331" i="1"/>
  <c r="AX331" i="1"/>
  <c r="AZ330" i="1"/>
  <c r="DE330" i="1" s="1"/>
  <c r="AY330" i="1"/>
  <c r="AX330" i="1"/>
  <c r="AZ329" i="1"/>
  <c r="DE329" i="1" s="1"/>
  <c r="AY329" i="1"/>
  <c r="AX329" i="1"/>
  <c r="AZ328" i="1"/>
  <c r="DE328" i="1" s="1"/>
  <c r="DA328" i="1" s="1"/>
  <c r="AY328" i="1"/>
  <c r="AX328" i="1"/>
  <c r="AZ327" i="1"/>
  <c r="DE327" i="1" s="1"/>
  <c r="AY327" i="1"/>
  <c r="AX327" i="1"/>
  <c r="AZ326" i="1"/>
  <c r="DE326" i="1" s="1"/>
  <c r="DC326" i="1" s="1"/>
  <c r="AY326" i="1"/>
  <c r="AX326" i="1"/>
  <c r="AZ325" i="1"/>
  <c r="DE325" i="1" s="1"/>
  <c r="AY325" i="1"/>
  <c r="AX325" i="1"/>
  <c r="AZ324" i="1"/>
  <c r="DE324" i="1" s="1"/>
  <c r="DA324" i="1" s="1"/>
  <c r="AY324" i="1"/>
  <c r="AX324" i="1"/>
  <c r="AZ323" i="1"/>
  <c r="DE323" i="1" s="1"/>
  <c r="AY323" i="1"/>
  <c r="AX323" i="1"/>
  <c r="AZ322" i="1"/>
  <c r="DE322" i="1" s="1"/>
  <c r="DC322" i="1" s="1"/>
  <c r="DD322" i="1" s="1"/>
  <c r="AY322" i="1"/>
  <c r="AX322" i="1"/>
  <c r="AZ321" i="1"/>
  <c r="DE321" i="1" s="1"/>
  <c r="AY321" i="1"/>
  <c r="AX321" i="1"/>
  <c r="AZ320" i="1"/>
  <c r="DE320" i="1" s="1"/>
  <c r="AY320" i="1"/>
  <c r="AX320" i="1"/>
  <c r="AZ319" i="1"/>
  <c r="DE319" i="1" s="1"/>
  <c r="AY319" i="1"/>
  <c r="AX319" i="1"/>
  <c r="AZ318" i="1"/>
  <c r="DE318" i="1" s="1"/>
  <c r="DC318" i="1" s="1"/>
  <c r="AY318" i="1"/>
  <c r="AX318" i="1"/>
  <c r="AZ317" i="1"/>
  <c r="DE317" i="1" s="1"/>
  <c r="AY317" i="1"/>
  <c r="AX317" i="1"/>
  <c r="AZ316" i="1"/>
  <c r="DE316" i="1" s="1"/>
  <c r="DA316" i="1" s="1"/>
  <c r="AY316" i="1"/>
  <c r="AX316" i="1"/>
  <c r="AZ315" i="1"/>
  <c r="DE315" i="1" s="1"/>
  <c r="AY315" i="1"/>
  <c r="AX315" i="1"/>
  <c r="AZ140" i="1"/>
  <c r="DE140" i="1" s="1"/>
  <c r="AY140" i="1"/>
  <c r="AX140" i="1"/>
  <c r="AZ314" i="1"/>
  <c r="DE314" i="1" s="1"/>
  <c r="AY314" i="1"/>
  <c r="AX314" i="1"/>
  <c r="AZ313" i="1"/>
  <c r="DE313" i="1" s="1"/>
  <c r="AY313" i="1"/>
  <c r="AX313" i="1"/>
  <c r="AZ312" i="1"/>
  <c r="DE312" i="1" s="1"/>
  <c r="AY312" i="1"/>
  <c r="AX312" i="1"/>
  <c r="AZ311" i="1"/>
  <c r="AY311" i="1"/>
  <c r="AX311" i="1"/>
  <c r="AZ310" i="1"/>
  <c r="DE310" i="1" s="1"/>
  <c r="AY310" i="1"/>
  <c r="AX310" i="1"/>
  <c r="AZ309" i="1"/>
  <c r="DE309" i="1" s="1"/>
  <c r="AY309" i="1"/>
  <c r="AX309" i="1"/>
  <c r="AZ308" i="1"/>
  <c r="DE308" i="1" s="1"/>
  <c r="AY308" i="1"/>
  <c r="AX308" i="1"/>
  <c r="AZ307" i="1"/>
  <c r="DE307" i="1" s="1"/>
  <c r="AY307" i="1"/>
  <c r="AX307" i="1"/>
  <c r="AZ306" i="1"/>
  <c r="DE306" i="1" s="1"/>
  <c r="AY306" i="1"/>
  <c r="AX306" i="1"/>
  <c r="AZ305" i="1"/>
  <c r="DE305" i="1" s="1"/>
  <c r="AY305" i="1"/>
  <c r="AX305" i="1"/>
  <c r="AZ304" i="1"/>
  <c r="DE304" i="1" s="1"/>
  <c r="AY304" i="1"/>
  <c r="AX304" i="1"/>
  <c r="AZ303" i="1"/>
  <c r="DE303" i="1" s="1"/>
  <c r="AY303" i="1"/>
  <c r="AX303" i="1"/>
  <c r="AZ302" i="1"/>
  <c r="DE302" i="1" s="1"/>
  <c r="AY302" i="1"/>
  <c r="AX302" i="1"/>
  <c r="AZ301" i="1"/>
  <c r="DE301" i="1" s="1"/>
  <c r="AY301" i="1"/>
  <c r="AX301" i="1"/>
  <c r="AZ300" i="1"/>
  <c r="DE300" i="1" s="1"/>
  <c r="AY300" i="1"/>
  <c r="AX300" i="1"/>
  <c r="AZ299" i="1"/>
  <c r="DE299" i="1" s="1"/>
  <c r="DA299" i="1" s="1"/>
  <c r="AY299" i="1"/>
  <c r="AX299" i="1"/>
  <c r="AZ298" i="1"/>
  <c r="DE298" i="1" s="1"/>
  <c r="AY298" i="1"/>
  <c r="AX298" i="1"/>
  <c r="AZ297" i="1"/>
  <c r="DE297" i="1" s="1"/>
  <c r="AY297" i="1"/>
  <c r="AX297" i="1"/>
  <c r="AZ296" i="1"/>
  <c r="DE296" i="1" s="1"/>
  <c r="AY296" i="1"/>
  <c r="AX296" i="1"/>
  <c r="AZ295" i="1"/>
  <c r="AY295" i="1"/>
  <c r="AX295" i="1"/>
  <c r="AZ294" i="1"/>
  <c r="DE294" i="1" s="1"/>
  <c r="AY294" i="1"/>
  <c r="AX294" i="1"/>
  <c r="AZ293" i="1"/>
  <c r="DE293" i="1" s="1"/>
  <c r="AY293" i="1"/>
  <c r="AX293" i="1"/>
  <c r="AZ292" i="1"/>
  <c r="DE292" i="1" s="1"/>
  <c r="AY292" i="1"/>
  <c r="AX292" i="1"/>
  <c r="AZ291" i="1"/>
  <c r="DE291" i="1" s="1"/>
  <c r="AY291" i="1"/>
  <c r="AX291" i="1"/>
  <c r="AZ290" i="1"/>
  <c r="DE290" i="1" s="1"/>
  <c r="AY290" i="1"/>
  <c r="AX290" i="1"/>
  <c r="AZ289" i="1"/>
  <c r="DE289" i="1" s="1"/>
  <c r="AY289" i="1"/>
  <c r="AX289" i="1"/>
  <c r="AZ287" i="1"/>
  <c r="DE287" i="1" s="1"/>
  <c r="AY287" i="1"/>
  <c r="AX287" i="1"/>
  <c r="AZ286" i="1"/>
  <c r="DE286" i="1" s="1"/>
  <c r="AY286" i="1"/>
  <c r="AX286" i="1"/>
  <c r="AZ285" i="1"/>
  <c r="AY285" i="1"/>
  <c r="AX285" i="1"/>
  <c r="AZ284" i="1"/>
  <c r="AY284" i="1"/>
  <c r="AX284" i="1"/>
  <c r="AZ283" i="1"/>
  <c r="DE283" i="1" s="1"/>
  <c r="AY283" i="1"/>
  <c r="AX283" i="1"/>
  <c r="AZ282" i="1"/>
  <c r="DE282" i="1" s="1"/>
  <c r="AY282" i="1"/>
  <c r="AX282" i="1"/>
  <c r="AZ281" i="1"/>
  <c r="DE281" i="1" s="1"/>
  <c r="DA281" i="1" s="1"/>
  <c r="AY281" i="1"/>
  <c r="AX281" i="1"/>
  <c r="AZ280" i="1"/>
  <c r="DE280" i="1" s="1"/>
  <c r="AY280" i="1"/>
  <c r="AX280" i="1"/>
  <c r="AZ279" i="1"/>
  <c r="DE279" i="1" s="1"/>
  <c r="AY279" i="1"/>
  <c r="AX279" i="1"/>
  <c r="AZ278" i="1"/>
  <c r="DE278" i="1" s="1"/>
  <c r="AY278" i="1"/>
  <c r="AX278" i="1"/>
  <c r="AZ277" i="1"/>
  <c r="DE277" i="1" s="1"/>
  <c r="AY277" i="1"/>
  <c r="AX277" i="1"/>
  <c r="AZ276" i="1"/>
  <c r="AY276" i="1"/>
  <c r="AX276" i="1"/>
  <c r="AZ275" i="1"/>
  <c r="DE275" i="1" s="1"/>
  <c r="DA275" i="1" s="1"/>
  <c r="AY275" i="1"/>
  <c r="AX275" i="1"/>
  <c r="AZ274" i="1"/>
  <c r="DE274" i="1" s="1"/>
  <c r="AY274" i="1"/>
  <c r="AX274" i="1"/>
  <c r="AZ273" i="1"/>
  <c r="AY273" i="1"/>
  <c r="AX273" i="1"/>
  <c r="AZ272" i="1"/>
  <c r="AY272" i="1"/>
  <c r="AX272" i="1"/>
  <c r="AZ271" i="1"/>
  <c r="DE271" i="1" s="1"/>
  <c r="AY271" i="1"/>
  <c r="AX271" i="1"/>
  <c r="AZ270" i="1"/>
  <c r="DE270" i="1" s="1"/>
  <c r="DC270" i="1" s="1"/>
  <c r="AY270" i="1"/>
  <c r="AX270" i="1"/>
  <c r="AZ269" i="1"/>
  <c r="DE269" i="1" s="1"/>
  <c r="AY269" i="1"/>
  <c r="AX269" i="1"/>
  <c r="AZ268" i="1"/>
  <c r="DE268" i="1" s="1"/>
  <c r="DC268" i="1" s="1"/>
  <c r="DD268" i="1" s="1"/>
  <c r="AY268" i="1"/>
  <c r="AX268" i="1"/>
  <c r="AZ267" i="1"/>
  <c r="DE267" i="1" s="1"/>
  <c r="AY267" i="1"/>
  <c r="AX267" i="1"/>
  <c r="AZ266" i="1"/>
  <c r="DE266" i="1" s="1"/>
  <c r="AY266" i="1"/>
  <c r="AX266" i="1"/>
  <c r="AZ265" i="1"/>
  <c r="AY265" i="1"/>
  <c r="AX265" i="1"/>
  <c r="AZ264" i="1"/>
  <c r="DE264" i="1" s="1"/>
  <c r="AY264" i="1"/>
  <c r="AX264" i="1"/>
  <c r="AZ263" i="1"/>
  <c r="DE263" i="1" s="1"/>
  <c r="AY263" i="1"/>
  <c r="AX263" i="1"/>
  <c r="AZ262" i="1"/>
  <c r="DE262" i="1" s="1"/>
  <c r="DC262" i="1" s="1"/>
  <c r="AY262" i="1"/>
  <c r="AX262" i="1"/>
  <c r="AZ261" i="1"/>
  <c r="DE261" i="1" s="1"/>
  <c r="AY261" i="1"/>
  <c r="AX261" i="1"/>
  <c r="AZ260" i="1"/>
  <c r="DE260" i="1" s="1"/>
  <c r="AY260" i="1"/>
  <c r="AX260" i="1"/>
  <c r="AZ259" i="1"/>
  <c r="DE259" i="1" s="1"/>
  <c r="AY259" i="1"/>
  <c r="AX259" i="1"/>
  <c r="AZ258" i="1"/>
  <c r="DE258" i="1" s="1"/>
  <c r="AY258" i="1"/>
  <c r="AX258" i="1"/>
  <c r="AZ257" i="1"/>
  <c r="AY257" i="1"/>
  <c r="AX257" i="1"/>
  <c r="AZ256" i="1"/>
  <c r="DE256" i="1" s="1"/>
  <c r="AY256" i="1"/>
  <c r="AX256" i="1"/>
  <c r="AZ255" i="1"/>
  <c r="DE255" i="1" s="1"/>
  <c r="AY255" i="1"/>
  <c r="AX255" i="1"/>
  <c r="AZ254" i="1"/>
  <c r="DE254" i="1" s="1"/>
  <c r="DC254" i="1" s="1"/>
  <c r="AY254" i="1"/>
  <c r="AX254" i="1"/>
  <c r="AZ253" i="1"/>
  <c r="AY253" i="1"/>
  <c r="AX253" i="1"/>
  <c r="AZ252" i="1"/>
  <c r="DE252" i="1" s="1"/>
  <c r="AY252" i="1"/>
  <c r="AX252" i="1"/>
  <c r="AZ251" i="1"/>
  <c r="DE251" i="1" s="1"/>
  <c r="AY251" i="1"/>
  <c r="AX251" i="1"/>
  <c r="AZ250" i="1"/>
  <c r="DE250" i="1" s="1"/>
  <c r="DC250" i="1" s="1"/>
  <c r="DD250" i="1" s="1"/>
  <c r="DP250" i="1" s="1"/>
  <c r="AY250" i="1"/>
  <c r="AX250" i="1"/>
  <c r="AZ249" i="1"/>
  <c r="DE249" i="1" s="1"/>
  <c r="DA249" i="1" s="1"/>
  <c r="AY249" i="1"/>
  <c r="AX249" i="1"/>
  <c r="AZ248" i="1"/>
  <c r="DE248" i="1" s="1"/>
  <c r="AY248" i="1"/>
  <c r="AX248" i="1"/>
  <c r="AZ247" i="1"/>
  <c r="AY247" i="1"/>
  <c r="AX247" i="1"/>
  <c r="AZ246" i="1"/>
  <c r="DE246" i="1" s="1"/>
  <c r="AY246" i="1"/>
  <c r="AX246" i="1"/>
  <c r="AZ245" i="1"/>
  <c r="DE245" i="1" s="1"/>
  <c r="AY245" i="1"/>
  <c r="AX245" i="1"/>
  <c r="AZ244" i="1"/>
  <c r="DE244" i="1" s="1"/>
  <c r="AY244" i="1"/>
  <c r="AX244" i="1"/>
  <c r="AZ243" i="1"/>
  <c r="AY243" i="1"/>
  <c r="AX243" i="1"/>
  <c r="AZ242" i="1"/>
  <c r="DE242" i="1" s="1"/>
  <c r="AY242" i="1"/>
  <c r="AX242" i="1"/>
  <c r="AZ241" i="1"/>
  <c r="DE241" i="1" s="1"/>
  <c r="DC241" i="1" s="1"/>
  <c r="AY241" i="1"/>
  <c r="AX241" i="1"/>
  <c r="AZ240" i="1"/>
  <c r="DE240" i="1" s="1"/>
  <c r="AY240" i="1"/>
  <c r="AX240" i="1"/>
  <c r="AZ239" i="1"/>
  <c r="AY239" i="1"/>
  <c r="AX239" i="1"/>
  <c r="AZ238" i="1"/>
  <c r="DE238" i="1" s="1"/>
  <c r="DA238" i="1" s="1"/>
  <c r="AY238" i="1"/>
  <c r="AX238" i="1"/>
  <c r="AZ237" i="1"/>
  <c r="DE237" i="1" s="1"/>
  <c r="DC237" i="1" s="1"/>
  <c r="AY237" i="1"/>
  <c r="AX237" i="1"/>
  <c r="AZ236" i="1"/>
  <c r="DE236" i="1" s="1"/>
  <c r="AY236" i="1"/>
  <c r="AX236" i="1"/>
  <c r="AZ235" i="1"/>
  <c r="DE235" i="1" s="1"/>
  <c r="AY235" i="1"/>
  <c r="AX235" i="1"/>
  <c r="AZ234" i="1"/>
  <c r="DE234" i="1" s="1"/>
  <c r="DC234" i="1" s="1"/>
  <c r="DD234" i="1" s="1"/>
  <c r="AY234" i="1"/>
  <c r="AX234" i="1"/>
  <c r="AZ233" i="1"/>
  <c r="DE233" i="1" s="1"/>
  <c r="DC233" i="1" s="1"/>
  <c r="AY233" i="1"/>
  <c r="AX233" i="1"/>
  <c r="AZ232" i="1"/>
  <c r="AY232" i="1"/>
  <c r="AX232" i="1"/>
  <c r="AZ231" i="1"/>
  <c r="AY231" i="1"/>
  <c r="AX231" i="1"/>
  <c r="AZ230" i="1"/>
  <c r="DE230" i="1" s="1"/>
  <c r="AY230" i="1"/>
  <c r="AX230" i="1"/>
  <c r="AZ229" i="1"/>
  <c r="DE229" i="1" s="1"/>
  <c r="AY229" i="1"/>
  <c r="AX229" i="1"/>
  <c r="AZ228" i="1"/>
  <c r="DE228" i="1" s="1"/>
  <c r="AY228" i="1"/>
  <c r="AX228" i="1"/>
  <c r="AZ227" i="1"/>
  <c r="AY227" i="1"/>
  <c r="AX227" i="1"/>
  <c r="AZ226" i="1"/>
  <c r="DE226" i="1" s="1"/>
  <c r="DC226" i="1" s="1"/>
  <c r="DD226" i="1" s="1"/>
  <c r="AY226" i="1"/>
  <c r="AX226" i="1"/>
  <c r="AZ225" i="1"/>
  <c r="AY225" i="1"/>
  <c r="AX225" i="1"/>
  <c r="AZ224" i="1"/>
  <c r="DE224" i="1" s="1"/>
  <c r="DC224" i="1" s="1"/>
  <c r="AY224" i="1"/>
  <c r="AX224" i="1"/>
  <c r="AZ223" i="1"/>
  <c r="DE223" i="1" s="1"/>
  <c r="AY223" i="1"/>
  <c r="AX223" i="1"/>
  <c r="AZ222" i="1"/>
  <c r="DE222" i="1" s="1"/>
  <c r="AY222" i="1"/>
  <c r="AX222" i="1"/>
  <c r="AZ221" i="1"/>
  <c r="DE221" i="1" s="1"/>
  <c r="AY221" i="1"/>
  <c r="AX221" i="1"/>
  <c r="AZ220" i="1"/>
  <c r="DE220" i="1" s="1"/>
  <c r="DC220" i="1" s="1"/>
  <c r="DD220" i="1" s="1"/>
  <c r="DQ220" i="1" s="1"/>
  <c r="AY220" i="1"/>
  <c r="AX220" i="1"/>
  <c r="AZ219" i="1"/>
  <c r="AY219" i="1"/>
  <c r="AX219" i="1"/>
  <c r="AZ218" i="1"/>
  <c r="DE218" i="1" s="1"/>
  <c r="AY218" i="1"/>
  <c r="AX218" i="1"/>
  <c r="AZ217" i="1"/>
  <c r="DE217" i="1" s="1"/>
  <c r="AY217" i="1"/>
  <c r="AX217" i="1"/>
  <c r="AZ216" i="1"/>
  <c r="DE216" i="1" s="1"/>
  <c r="AY216" i="1"/>
  <c r="AX216" i="1"/>
  <c r="AZ215" i="1"/>
  <c r="DE215" i="1" s="1"/>
  <c r="AY215" i="1"/>
  <c r="AX215" i="1"/>
  <c r="AZ214" i="1"/>
  <c r="DE214" i="1" s="1"/>
  <c r="DC214" i="1" s="1"/>
  <c r="AY214" i="1"/>
  <c r="AX214" i="1"/>
  <c r="AZ213" i="1"/>
  <c r="AY213" i="1"/>
  <c r="AX213" i="1"/>
  <c r="AZ212" i="1"/>
  <c r="AY212" i="1"/>
  <c r="AX212" i="1"/>
  <c r="AZ211" i="1"/>
  <c r="DE211" i="1" s="1"/>
  <c r="AY211" i="1"/>
  <c r="AX211" i="1"/>
  <c r="AZ210" i="1"/>
  <c r="DE210" i="1" s="1"/>
  <c r="AY210" i="1"/>
  <c r="AX210" i="1"/>
  <c r="AZ209" i="1"/>
  <c r="AY209" i="1"/>
  <c r="AX209" i="1"/>
  <c r="AZ208" i="1"/>
  <c r="AY208" i="1"/>
  <c r="AX208" i="1"/>
  <c r="AZ207" i="1"/>
  <c r="DE207" i="1" s="1"/>
  <c r="AY207" i="1"/>
  <c r="AX207" i="1"/>
  <c r="AZ206" i="1"/>
  <c r="DE206" i="1" s="1"/>
  <c r="DC206" i="1" s="1"/>
  <c r="AY206" i="1"/>
  <c r="AX206" i="1"/>
  <c r="AZ205" i="1"/>
  <c r="AY205" i="1"/>
  <c r="AX205" i="1"/>
  <c r="AZ204" i="1"/>
  <c r="AY204" i="1"/>
  <c r="AX204" i="1"/>
  <c r="AZ203" i="1"/>
  <c r="DE203" i="1" s="1"/>
  <c r="AY203" i="1"/>
  <c r="AX203" i="1"/>
  <c r="AZ202" i="1"/>
  <c r="DE202" i="1" s="1"/>
  <c r="AY202" i="1"/>
  <c r="AX202" i="1"/>
  <c r="AZ201" i="1"/>
  <c r="DE201" i="1" s="1"/>
  <c r="AY201" i="1"/>
  <c r="AX201" i="1"/>
  <c r="AZ200" i="1"/>
  <c r="DE200" i="1" s="1"/>
  <c r="AY200" i="1"/>
  <c r="AX200" i="1"/>
  <c r="AZ199" i="1"/>
  <c r="DE199" i="1" s="1"/>
  <c r="AY199" i="1"/>
  <c r="AX199" i="1"/>
  <c r="AZ198" i="1"/>
  <c r="DE198" i="1" s="1"/>
  <c r="DC198" i="1" s="1"/>
  <c r="AY198" i="1"/>
  <c r="AX198" i="1"/>
  <c r="AZ197" i="1"/>
  <c r="AY197" i="1"/>
  <c r="AX197" i="1"/>
  <c r="AZ196" i="1"/>
  <c r="AY196" i="1"/>
  <c r="AX196" i="1"/>
  <c r="AZ195" i="1"/>
  <c r="DE195" i="1" s="1"/>
  <c r="AY195" i="1"/>
  <c r="AX195" i="1"/>
  <c r="AZ194" i="1"/>
  <c r="DE194" i="1" s="1"/>
  <c r="AY194" i="1"/>
  <c r="AX194" i="1"/>
  <c r="AZ193" i="1"/>
  <c r="DE193" i="1" s="1"/>
  <c r="AY193" i="1"/>
  <c r="AX193" i="1"/>
  <c r="AZ192" i="1"/>
  <c r="AY192" i="1"/>
  <c r="AX192" i="1"/>
  <c r="AZ191" i="1"/>
  <c r="DE191" i="1" s="1"/>
  <c r="DC191" i="1" s="1"/>
  <c r="AY191" i="1"/>
  <c r="AX191" i="1"/>
  <c r="AZ190" i="1"/>
  <c r="AY190" i="1"/>
  <c r="AX190" i="1"/>
  <c r="AZ189" i="1"/>
  <c r="DE189" i="1" s="1"/>
  <c r="AY189" i="1"/>
  <c r="AX189" i="1"/>
  <c r="AZ188" i="1"/>
  <c r="DE188" i="1" s="1"/>
  <c r="AY188" i="1"/>
  <c r="AX188" i="1"/>
  <c r="AZ187" i="1"/>
  <c r="DE187" i="1" s="1"/>
  <c r="DC187" i="1" s="1"/>
  <c r="AY187" i="1"/>
  <c r="AX187" i="1"/>
  <c r="AZ186" i="1"/>
  <c r="DE186" i="1" s="1"/>
  <c r="AY186" i="1"/>
  <c r="AX186" i="1"/>
  <c r="AZ185" i="1"/>
  <c r="DE185" i="1" s="1"/>
  <c r="AY185" i="1"/>
  <c r="AX185" i="1"/>
  <c r="AZ184" i="1"/>
  <c r="DE184" i="1" s="1"/>
  <c r="AY184" i="1"/>
  <c r="AX184" i="1"/>
  <c r="AZ183" i="1"/>
  <c r="DE183" i="1" s="1"/>
  <c r="DA183" i="1" s="1"/>
  <c r="AY183" i="1"/>
  <c r="AX183" i="1"/>
  <c r="AZ182" i="1"/>
  <c r="DE182" i="1" s="1"/>
  <c r="AY182" i="1"/>
  <c r="AX182" i="1"/>
  <c r="AZ181" i="1"/>
  <c r="DE181" i="1" s="1"/>
  <c r="AY181" i="1"/>
  <c r="AX181" i="1"/>
  <c r="AZ180" i="1"/>
  <c r="DE180" i="1" s="1"/>
  <c r="AY180" i="1"/>
  <c r="AX180" i="1"/>
  <c r="AZ179" i="1"/>
  <c r="DE179" i="1" s="1"/>
  <c r="DC179" i="1" s="1"/>
  <c r="AY179" i="1"/>
  <c r="AX179" i="1"/>
  <c r="AZ178" i="1"/>
  <c r="AY178" i="1"/>
  <c r="AX178" i="1"/>
  <c r="AZ177" i="1"/>
  <c r="DE177" i="1" s="1"/>
  <c r="AY177" i="1"/>
  <c r="AX177" i="1"/>
  <c r="AZ31" i="1"/>
  <c r="DE31" i="1" s="1"/>
  <c r="AY31" i="1"/>
  <c r="AX31" i="1"/>
  <c r="AZ176" i="1"/>
  <c r="DE176" i="1" s="1"/>
  <c r="DC176" i="1" s="1"/>
  <c r="AY176" i="1"/>
  <c r="AX176" i="1"/>
  <c r="AZ175" i="1"/>
  <c r="DE175" i="1" s="1"/>
  <c r="AY175" i="1"/>
  <c r="AX175" i="1"/>
  <c r="AZ174" i="1"/>
  <c r="DE174" i="1" s="1"/>
  <c r="AY174" i="1"/>
  <c r="AX174" i="1"/>
  <c r="AZ173" i="1"/>
  <c r="DE173" i="1" s="1"/>
  <c r="DC173" i="1" s="1"/>
  <c r="DD173" i="1" s="1"/>
  <c r="AY173" i="1"/>
  <c r="AX173" i="1"/>
  <c r="AZ172" i="1"/>
  <c r="DE172" i="1" s="1"/>
  <c r="DC172" i="1" s="1"/>
  <c r="AY172" i="1"/>
  <c r="AX172" i="1"/>
  <c r="AZ171" i="1"/>
  <c r="DE171" i="1" s="1"/>
  <c r="AY171" i="1"/>
  <c r="AX171" i="1"/>
  <c r="AZ170" i="1"/>
  <c r="DE170" i="1" s="1"/>
  <c r="AY170" i="1"/>
  <c r="AX170" i="1"/>
  <c r="AZ169" i="1"/>
  <c r="DE169" i="1" s="1"/>
  <c r="DA169" i="1" s="1"/>
  <c r="AY169" i="1"/>
  <c r="AX169" i="1"/>
  <c r="AZ168" i="1"/>
  <c r="DE168" i="1" s="1"/>
  <c r="AY168" i="1"/>
  <c r="AX168" i="1"/>
  <c r="AZ167" i="1"/>
  <c r="DE167" i="1" s="1"/>
  <c r="AY167" i="1"/>
  <c r="AX167" i="1"/>
  <c r="AZ166" i="1"/>
  <c r="DE166" i="1" s="1"/>
  <c r="AY166" i="1"/>
  <c r="AX166" i="1"/>
  <c r="AZ165" i="1"/>
  <c r="DE165" i="1" s="1"/>
  <c r="DA165" i="1" s="1"/>
  <c r="AY165" i="1"/>
  <c r="AX165" i="1"/>
  <c r="AZ164" i="1"/>
  <c r="DE164" i="1" s="1"/>
  <c r="DC164" i="1" s="1"/>
  <c r="AY164" i="1"/>
  <c r="AX164" i="1"/>
  <c r="AZ163" i="1"/>
  <c r="DE163" i="1" s="1"/>
  <c r="DC163" i="1" s="1"/>
  <c r="DD163" i="1" s="1"/>
  <c r="AY163" i="1"/>
  <c r="AX163" i="1"/>
  <c r="AZ162" i="1"/>
  <c r="DE162" i="1" s="1"/>
  <c r="DC162" i="1" s="1"/>
  <c r="AY162" i="1"/>
  <c r="AX162" i="1"/>
  <c r="AZ161" i="1"/>
  <c r="AY161" i="1"/>
  <c r="AX161" i="1"/>
  <c r="AZ160" i="1"/>
  <c r="DE160" i="1" s="1"/>
  <c r="AY160" i="1"/>
  <c r="AX160" i="1"/>
  <c r="AZ159" i="1"/>
  <c r="DE159" i="1" s="1"/>
  <c r="AY159" i="1"/>
  <c r="AX159" i="1"/>
  <c r="AZ158" i="1"/>
  <c r="DE158" i="1" s="1"/>
  <c r="AY158" i="1"/>
  <c r="AX158" i="1"/>
  <c r="AZ157" i="1"/>
  <c r="DE157" i="1" s="1"/>
  <c r="AY157" i="1"/>
  <c r="AX157" i="1"/>
  <c r="AZ156" i="1"/>
  <c r="DE156" i="1" s="1"/>
  <c r="AY156" i="1"/>
  <c r="AX156" i="1"/>
  <c r="AZ152" i="1"/>
  <c r="DE152" i="1" s="1"/>
  <c r="AY152" i="1"/>
  <c r="AX152" i="1"/>
  <c r="AZ150" i="1"/>
  <c r="DE150" i="1" s="1"/>
  <c r="AY150" i="1"/>
  <c r="AX150" i="1"/>
  <c r="AZ14" i="1"/>
  <c r="DE14" i="1" s="1"/>
  <c r="AY14" i="1"/>
  <c r="AX14" i="1"/>
  <c r="AZ149" i="1"/>
  <c r="AY149" i="1"/>
  <c r="AX149" i="1"/>
  <c r="AZ148" i="1"/>
  <c r="DE148" i="1" s="1"/>
  <c r="AY148" i="1"/>
  <c r="AX148" i="1"/>
  <c r="AZ147" i="1"/>
  <c r="DE147" i="1" s="1"/>
  <c r="AY147" i="1"/>
  <c r="AX147" i="1"/>
  <c r="AZ146" i="1"/>
  <c r="DE146" i="1" s="1"/>
  <c r="DC146" i="1" s="1"/>
  <c r="DD146" i="1" s="1"/>
  <c r="AY146" i="1"/>
  <c r="AX146" i="1"/>
  <c r="AZ144" i="1"/>
  <c r="AY144" i="1"/>
  <c r="AX144" i="1"/>
  <c r="AZ143" i="1"/>
  <c r="DE143" i="1" s="1"/>
  <c r="DA143" i="1" s="1"/>
  <c r="AY143" i="1"/>
  <c r="AX143" i="1"/>
  <c r="AZ141" i="1"/>
  <c r="DE141" i="1" s="1"/>
  <c r="DC141" i="1" s="1"/>
  <c r="AY141" i="1"/>
  <c r="AX141" i="1"/>
  <c r="AZ139" i="1"/>
  <c r="DE139" i="1" s="1"/>
  <c r="AY139" i="1"/>
  <c r="AX139" i="1"/>
  <c r="AZ138" i="1"/>
  <c r="AY138" i="1"/>
  <c r="AX138" i="1"/>
  <c r="AZ137" i="1"/>
  <c r="DE137" i="1" s="1"/>
  <c r="AY137" i="1"/>
  <c r="AX137" i="1"/>
  <c r="AZ136" i="1"/>
  <c r="DE136" i="1" s="1"/>
  <c r="DC136" i="1" s="1"/>
  <c r="AY136" i="1"/>
  <c r="AX136" i="1"/>
  <c r="AZ135" i="1"/>
  <c r="DE135" i="1" s="1"/>
  <c r="AY135" i="1"/>
  <c r="AX135" i="1"/>
  <c r="AZ134" i="1"/>
  <c r="DE134" i="1" s="1"/>
  <c r="AY134" i="1"/>
  <c r="AX134" i="1"/>
  <c r="AZ132" i="1"/>
  <c r="DE132" i="1" s="1"/>
  <c r="AY132" i="1"/>
  <c r="AX132" i="1"/>
  <c r="AZ131" i="1"/>
  <c r="DE131" i="1" s="1"/>
  <c r="AY131" i="1"/>
  <c r="AX131" i="1"/>
  <c r="AZ129" i="1"/>
  <c r="DE129" i="1" s="1"/>
  <c r="AY129" i="1"/>
  <c r="AX129" i="1"/>
  <c r="AZ13" i="1"/>
  <c r="AY13" i="1"/>
  <c r="AX13" i="1"/>
  <c r="AZ127" i="1"/>
  <c r="DE127" i="1" s="1"/>
  <c r="AY127" i="1"/>
  <c r="AX127" i="1"/>
  <c r="AZ126" i="1"/>
  <c r="DE126" i="1" s="1"/>
  <c r="DC126" i="1" s="1"/>
  <c r="AY126" i="1"/>
  <c r="AX126" i="1"/>
  <c r="AZ125" i="1"/>
  <c r="DE125" i="1" s="1"/>
  <c r="AY125" i="1"/>
  <c r="AX125" i="1"/>
  <c r="AZ124" i="1"/>
  <c r="DE124" i="1" s="1"/>
  <c r="DA124" i="1" s="1"/>
  <c r="AY124" i="1"/>
  <c r="AX124" i="1"/>
  <c r="AZ122" i="1"/>
  <c r="DE122" i="1" s="1"/>
  <c r="AY122" i="1"/>
  <c r="AX122" i="1"/>
  <c r="AZ121" i="1"/>
  <c r="DE121" i="1" s="1"/>
  <c r="AY121" i="1"/>
  <c r="AX121" i="1"/>
  <c r="AZ120" i="1"/>
  <c r="DE120" i="1" s="1"/>
  <c r="AY120" i="1"/>
  <c r="AX120" i="1"/>
  <c r="AZ119" i="1"/>
  <c r="AY119" i="1"/>
  <c r="AX119" i="1"/>
  <c r="AZ288" i="1"/>
  <c r="DE288" i="1" s="1"/>
  <c r="AY288" i="1"/>
  <c r="AX288" i="1"/>
  <c r="AZ118" i="1"/>
  <c r="DE118" i="1" s="1"/>
  <c r="DC118" i="1" s="1"/>
  <c r="AY118" i="1"/>
  <c r="AX118" i="1"/>
  <c r="AZ117" i="1"/>
  <c r="DE117" i="1" s="1"/>
  <c r="AY117" i="1"/>
  <c r="AX117" i="1"/>
  <c r="AZ116" i="1"/>
  <c r="DE116" i="1" s="1"/>
  <c r="AY116" i="1"/>
  <c r="AX116" i="1"/>
  <c r="AZ115" i="1"/>
  <c r="DE115" i="1" s="1"/>
  <c r="AY115" i="1"/>
  <c r="AX115" i="1"/>
  <c r="AZ114" i="1"/>
  <c r="DE114" i="1" s="1"/>
  <c r="DC114" i="1" s="1"/>
  <c r="AY114" i="1"/>
  <c r="AX114" i="1"/>
  <c r="AZ113" i="1"/>
  <c r="AY113" i="1"/>
  <c r="AX113" i="1"/>
  <c r="AZ112" i="1"/>
  <c r="AY112" i="1"/>
  <c r="AX112" i="1"/>
  <c r="AZ111" i="1"/>
  <c r="DE111" i="1" s="1"/>
  <c r="DC111" i="1" s="1"/>
  <c r="AY111" i="1"/>
  <c r="AX111" i="1"/>
  <c r="AZ110" i="1"/>
  <c r="DE110" i="1" s="1"/>
  <c r="DC110" i="1" s="1"/>
  <c r="AY110" i="1"/>
  <c r="AX110" i="1"/>
  <c r="AZ109" i="1"/>
  <c r="DE109" i="1" s="1"/>
  <c r="AY109" i="1"/>
  <c r="AX109" i="1"/>
  <c r="AZ108" i="1"/>
  <c r="DE108" i="1" s="1"/>
  <c r="AY108" i="1"/>
  <c r="AX108" i="1"/>
  <c r="AZ107" i="1"/>
  <c r="DE107" i="1" s="1"/>
  <c r="AY107" i="1"/>
  <c r="AX107" i="1"/>
  <c r="AZ106" i="1"/>
  <c r="DE106" i="1" s="1"/>
  <c r="AY106" i="1"/>
  <c r="AX106" i="1"/>
  <c r="AZ104" i="1"/>
  <c r="DE104" i="1" s="1"/>
  <c r="AY104" i="1"/>
  <c r="AX104" i="1"/>
  <c r="AZ103" i="1"/>
  <c r="DE103" i="1" s="1"/>
  <c r="AY103" i="1"/>
  <c r="AX103" i="1"/>
  <c r="AZ101" i="1"/>
  <c r="DE101" i="1" s="1"/>
  <c r="AY101" i="1"/>
  <c r="AX101" i="1"/>
  <c r="AZ12" i="1"/>
  <c r="AY12" i="1"/>
  <c r="AX12" i="1"/>
  <c r="AZ99" i="1"/>
  <c r="DE99" i="1" s="1"/>
  <c r="AY99" i="1"/>
  <c r="AX99" i="1"/>
  <c r="AZ98" i="1"/>
  <c r="DE98" i="1" s="1"/>
  <c r="AY98" i="1"/>
  <c r="AX98" i="1"/>
  <c r="AZ97" i="1"/>
  <c r="DE97" i="1" s="1"/>
  <c r="AY97" i="1"/>
  <c r="AX97" i="1"/>
  <c r="AZ72" i="1"/>
  <c r="AY72" i="1"/>
  <c r="AX72" i="1"/>
  <c r="AZ96" i="1"/>
  <c r="AY96" i="1"/>
  <c r="AX96" i="1"/>
  <c r="AZ145" i="1"/>
  <c r="DE145" i="1" s="1"/>
  <c r="AY145" i="1"/>
  <c r="AX145" i="1"/>
  <c r="AZ11" i="1"/>
  <c r="DE11" i="1" s="1"/>
  <c r="AY11" i="1"/>
  <c r="AX11" i="1"/>
  <c r="AZ95" i="1"/>
  <c r="AY95" i="1"/>
  <c r="AX95" i="1"/>
  <c r="AZ93" i="1"/>
  <c r="AY93" i="1"/>
  <c r="AX93" i="1"/>
  <c r="AZ92" i="1"/>
  <c r="DE92" i="1" s="1"/>
  <c r="AY92" i="1"/>
  <c r="AX92" i="1"/>
  <c r="AZ91" i="1"/>
  <c r="DE91" i="1" s="1"/>
  <c r="AY91" i="1"/>
  <c r="AX91" i="1"/>
  <c r="AZ90" i="1"/>
  <c r="DE90" i="1" s="1"/>
  <c r="AY90" i="1"/>
  <c r="AX90" i="1"/>
  <c r="AZ89" i="1"/>
  <c r="DE89" i="1" s="1"/>
  <c r="DC89" i="1" s="1"/>
  <c r="AY89" i="1"/>
  <c r="AX89" i="1"/>
  <c r="AZ87" i="1"/>
  <c r="DE87" i="1" s="1"/>
  <c r="AY87" i="1"/>
  <c r="AX87" i="1"/>
  <c r="AZ86" i="1"/>
  <c r="DE86" i="1" s="1"/>
  <c r="AY86" i="1"/>
  <c r="AX86" i="1"/>
  <c r="AZ8" i="1"/>
  <c r="AY8" i="1"/>
  <c r="AX8" i="1"/>
  <c r="AZ85" i="1"/>
  <c r="DE85" i="1" s="1"/>
  <c r="AY85" i="1"/>
  <c r="AX85" i="1"/>
  <c r="AZ84" i="1"/>
  <c r="DE84" i="1" s="1"/>
  <c r="AY84" i="1"/>
  <c r="AX84" i="1"/>
  <c r="AZ82" i="1"/>
  <c r="DE82" i="1" s="1"/>
  <c r="AY82" i="1"/>
  <c r="AX82" i="1"/>
  <c r="AZ80" i="1"/>
  <c r="DE80" i="1" s="1"/>
  <c r="AY80" i="1"/>
  <c r="AX80" i="1"/>
  <c r="AZ79" i="1"/>
  <c r="AY79" i="1"/>
  <c r="AX79" i="1"/>
  <c r="AZ78" i="1"/>
  <c r="DE78" i="1" s="1"/>
  <c r="AY78" i="1"/>
  <c r="AX78" i="1"/>
  <c r="AZ77" i="1"/>
  <c r="DE77" i="1" s="1"/>
  <c r="AY77" i="1"/>
  <c r="AX77" i="1"/>
  <c r="AZ76" i="1"/>
  <c r="AY76" i="1"/>
  <c r="AX76" i="1"/>
  <c r="AZ75" i="1"/>
  <c r="AY75" i="1"/>
  <c r="AX75" i="1"/>
  <c r="AZ9" i="1"/>
  <c r="DE9" i="1" s="1"/>
  <c r="AY9" i="1"/>
  <c r="AX9" i="1"/>
  <c r="AZ74" i="1"/>
  <c r="DE74" i="1" s="1"/>
  <c r="AY74" i="1"/>
  <c r="AX74" i="1"/>
  <c r="AZ73" i="1"/>
  <c r="AY73" i="1"/>
  <c r="AX73" i="1"/>
  <c r="AZ71" i="1"/>
  <c r="DE71" i="1" s="1"/>
  <c r="AY71" i="1"/>
  <c r="AX71" i="1"/>
  <c r="AZ70" i="1"/>
  <c r="DE70" i="1" s="1"/>
  <c r="AY70" i="1"/>
  <c r="AX70" i="1"/>
  <c r="AZ69" i="1"/>
  <c r="DE69" i="1" s="1"/>
  <c r="AY69" i="1"/>
  <c r="AX69" i="1"/>
  <c r="AZ68" i="1"/>
  <c r="AY68" i="1"/>
  <c r="AX68" i="1"/>
  <c r="AZ67" i="1"/>
  <c r="AY67" i="1"/>
  <c r="AX67" i="1"/>
  <c r="AZ66" i="1"/>
  <c r="DE66" i="1" s="1"/>
  <c r="AY66" i="1"/>
  <c r="AX66" i="1"/>
  <c r="AZ65" i="1"/>
  <c r="DE65" i="1" s="1"/>
  <c r="AY65" i="1"/>
  <c r="AX65" i="1"/>
  <c r="AZ48" i="1"/>
  <c r="AY48" i="1"/>
  <c r="AX48" i="1"/>
  <c r="AZ63" i="1"/>
  <c r="DE63" i="1" s="1"/>
  <c r="AY63" i="1"/>
  <c r="AX63" i="1"/>
  <c r="AZ62" i="1"/>
  <c r="DE62" i="1" s="1"/>
  <c r="AY62" i="1"/>
  <c r="AX62" i="1"/>
  <c r="AZ60" i="1"/>
  <c r="DE60" i="1" s="1"/>
  <c r="AY60" i="1"/>
  <c r="AX60" i="1"/>
  <c r="AZ59" i="1"/>
  <c r="AY59" i="1"/>
  <c r="AX59" i="1"/>
  <c r="AZ58" i="1"/>
  <c r="DE58" i="1" s="1"/>
  <c r="AY58" i="1"/>
  <c r="AX58" i="1"/>
  <c r="AZ54" i="1"/>
  <c r="DE54" i="1" s="1"/>
  <c r="AY54" i="1"/>
  <c r="AX54" i="1"/>
  <c r="AZ52" i="1"/>
  <c r="DE52" i="1" s="1"/>
  <c r="AY52" i="1"/>
  <c r="AX52" i="1"/>
  <c r="AZ51" i="1"/>
  <c r="AY51" i="1"/>
  <c r="AX51" i="1"/>
  <c r="AZ50" i="1"/>
  <c r="DE50" i="1" s="1"/>
  <c r="AY50" i="1"/>
  <c r="AX50" i="1"/>
  <c r="AZ123" i="1"/>
  <c r="DE123" i="1" s="1"/>
  <c r="AY123" i="1"/>
  <c r="AX123" i="1"/>
  <c r="AZ6" i="1"/>
  <c r="DE6" i="1" s="1"/>
  <c r="AY6" i="1"/>
  <c r="AX6" i="1"/>
  <c r="AZ47" i="1"/>
  <c r="AY47" i="1"/>
  <c r="AX47" i="1"/>
  <c r="AZ46" i="1"/>
  <c r="DE46" i="1" s="1"/>
  <c r="AY46" i="1"/>
  <c r="AX46" i="1"/>
  <c r="AZ44" i="1"/>
  <c r="DE44" i="1" s="1"/>
  <c r="AY44" i="1"/>
  <c r="AX44" i="1"/>
  <c r="AZ42" i="1"/>
  <c r="DE42" i="1" s="1"/>
  <c r="AY42" i="1"/>
  <c r="AX42" i="1"/>
  <c r="AZ41" i="1"/>
  <c r="DE41" i="1" s="1"/>
  <c r="AY41" i="1"/>
  <c r="AX41" i="1"/>
  <c r="AZ40" i="1"/>
  <c r="AY40" i="1"/>
  <c r="AX40" i="1"/>
  <c r="AZ39" i="1"/>
  <c r="DE39" i="1" s="1"/>
  <c r="AY39" i="1"/>
  <c r="AX39" i="1"/>
  <c r="AZ38" i="1"/>
  <c r="DE38" i="1" s="1"/>
  <c r="AY38" i="1"/>
  <c r="AX38" i="1"/>
  <c r="AZ37" i="1"/>
  <c r="DE37" i="1" s="1"/>
  <c r="AY37" i="1"/>
  <c r="AX37" i="1"/>
  <c r="AZ36" i="1"/>
  <c r="DE36" i="1" s="1"/>
  <c r="DC36" i="1" s="1"/>
  <c r="DD36" i="1" s="1"/>
  <c r="AY36" i="1"/>
  <c r="AX36" i="1"/>
  <c r="AZ35" i="1"/>
  <c r="DE35" i="1" s="1"/>
  <c r="AY35" i="1"/>
  <c r="AX35" i="1"/>
  <c r="AZ34" i="1"/>
  <c r="DE34" i="1" s="1"/>
  <c r="DC34" i="1" s="1"/>
  <c r="DD34" i="1" s="1"/>
  <c r="AY34" i="1"/>
  <c r="AX34" i="1"/>
  <c r="AZ33" i="1"/>
  <c r="DE33" i="1" s="1"/>
  <c r="AY33" i="1"/>
  <c r="AX33" i="1"/>
  <c r="AZ32" i="1"/>
  <c r="DE32" i="1" s="1"/>
  <c r="AY32" i="1"/>
  <c r="AX32" i="1"/>
  <c r="AZ83" i="1"/>
  <c r="DE83" i="1" s="1"/>
  <c r="DC83" i="1" s="1"/>
  <c r="AY83" i="1"/>
  <c r="AX83" i="1"/>
  <c r="AZ30" i="1"/>
  <c r="DE30" i="1" s="1"/>
  <c r="AY30" i="1"/>
  <c r="AX30" i="1"/>
  <c r="AZ28" i="1"/>
  <c r="DE28" i="1" s="1"/>
  <c r="AY28" i="1"/>
  <c r="AX28" i="1"/>
  <c r="AZ27" i="1"/>
  <c r="DE27" i="1" s="1"/>
  <c r="DC27" i="1" s="1"/>
  <c r="AY27" i="1"/>
  <c r="AX27" i="1"/>
  <c r="AZ26" i="1"/>
  <c r="DE26" i="1" s="1"/>
  <c r="DC26" i="1" s="1"/>
  <c r="AY26" i="1"/>
  <c r="AX26" i="1"/>
  <c r="AZ25" i="1"/>
  <c r="DE25" i="1" s="1"/>
  <c r="AY25" i="1"/>
  <c r="AX25" i="1"/>
  <c r="AZ24" i="1"/>
  <c r="DE24" i="1" s="1"/>
  <c r="AY24" i="1"/>
  <c r="AX24" i="1"/>
  <c r="AZ23" i="1"/>
  <c r="DE23" i="1" s="1"/>
  <c r="AY23" i="1"/>
  <c r="AX23" i="1"/>
  <c r="AZ142" i="1"/>
  <c r="DE142" i="1" s="1"/>
  <c r="DC142" i="1" s="1"/>
  <c r="AY142" i="1"/>
  <c r="AX142" i="1"/>
  <c r="AZ22" i="1"/>
  <c r="DE22" i="1" s="1"/>
  <c r="AY22" i="1"/>
  <c r="AX22" i="1"/>
  <c r="AZ21" i="1"/>
  <c r="DE21" i="1" s="1"/>
  <c r="AY21" i="1"/>
  <c r="AX21" i="1"/>
  <c r="AZ20" i="1"/>
  <c r="DE20" i="1" s="1"/>
  <c r="AY20" i="1"/>
  <c r="AX20" i="1"/>
  <c r="AZ19" i="1"/>
  <c r="DE19" i="1" s="1"/>
  <c r="DC19" i="1" s="1"/>
  <c r="AY19" i="1"/>
  <c r="AX19" i="1"/>
  <c r="AZ18" i="1"/>
  <c r="DE18" i="1" s="1"/>
  <c r="AY18" i="1"/>
  <c r="AX18" i="1"/>
  <c r="AZ17" i="1"/>
  <c r="DE17" i="1" s="1"/>
  <c r="AY17" i="1"/>
  <c r="AX17" i="1"/>
  <c r="AZ16" i="1"/>
  <c r="DE16" i="1" s="1"/>
  <c r="AY16" i="1"/>
  <c r="AX16" i="1"/>
  <c r="AZ15" i="1"/>
  <c r="DE15" i="1" s="1"/>
  <c r="DC15" i="1" s="1"/>
  <c r="AY15" i="1"/>
  <c r="AX15" i="1"/>
  <c r="AZ88" i="1"/>
  <c r="DE88" i="1" s="1"/>
  <c r="AY88" i="1"/>
  <c r="AX88" i="1"/>
  <c r="AZ81" i="1"/>
  <c r="DE81" i="1" s="1"/>
  <c r="AY81" i="1"/>
  <c r="AX81" i="1"/>
  <c r="AZ7" i="1"/>
  <c r="DE7" i="1" s="1"/>
  <c r="AY7" i="1"/>
  <c r="AX7" i="1"/>
  <c r="AZ64" i="1"/>
  <c r="DE64" i="1" s="1"/>
  <c r="AY64" i="1"/>
  <c r="AX64" i="1"/>
  <c r="AZ43" i="1"/>
  <c r="DE43" i="1" s="1"/>
  <c r="AY43" i="1"/>
  <c r="AX43" i="1"/>
  <c r="AK334" i="1"/>
  <c r="AK333" i="1"/>
  <c r="AK332" i="1"/>
  <c r="AK331" i="1"/>
  <c r="AK330" i="1"/>
  <c r="AK329" i="1"/>
  <c r="AK328" i="1"/>
  <c r="AK327" i="1"/>
  <c r="AK326" i="1"/>
  <c r="AK325" i="1"/>
  <c r="AK324" i="1"/>
  <c r="AK323" i="1"/>
  <c r="AK322" i="1"/>
  <c r="AK321" i="1"/>
  <c r="AK320" i="1"/>
  <c r="AK319" i="1"/>
  <c r="AK318" i="1"/>
  <c r="AK317" i="1"/>
  <c r="AK316" i="1"/>
  <c r="AK315" i="1"/>
  <c r="AK140" i="1"/>
  <c r="AK314" i="1"/>
  <c r="AK313" i="1"/>
  <c r="AK312" i="1"/>
  <c r="AK311" i="1"/>
  <c r="AK310" i="1"/>
  <c r="AK309" i="1"/>
  <c r="AK308" i="1"/>
  <c r="AK307" i="1"/>
  <c r="AK306" i="1"/>
  <c r="AK305" i="1"/>
  <c r="AK304" i="1"/>
  <c r="AK303" i="1"/>
  <c r="AK302" i="1"/>
  <c r="AK301" i="1"/>
  <c r="AK300" i="1"/>
  <c r="AK299" i="1"/>
  <c r="AK298" i="1"/>
  <c r="AK297" i="1"/>
  <c r="AK296" i="1"/>
  <c r="AK295" i="1"/>
  <c r="AK294" i="1"/>
  <c r="AK293" i="1"/>
  <c r="AK292" i="1"/>
  <c r="AK291" i="1"/>
  <c r="AK290" i="1"/>
  <c r="AK289" i="1"/>
  <c r="AK287" i="1"/>
  <c r="AK286" i="1"/>
  <c r="AK285" i="1"/>
  <c r="AK284" i="1"/>
  <c r="AK283" i="1"/>
  <c r="AK282" i="1"/>
  <c r="AK281" i="1"/>
  <c r="AK280" i="1"/>
  <c r="AK279" i="1"/>
  <c r="AK278" i="1"/>
  <c r="AK277" i="1"/>
  <c r="AK276" i="1"/>
  <c r="AK275" i="1"/>
  <c r="AK274" i="1"/>
  <c r="AK273" i="1"/>
  <c r="AK272" i="1"/>
  <c r="AK271" i="1"/>
  <c r="AK270" i="1"/>
  <c r="AK269" i="1"/>
  <c r="AK268" i="1"/>
  <c r="AK267" i="1"/>
  <c r="AK266" i="1"/>
  <c r="AK265" i="1"/>
  <c r="AK264" i="1"/>
  <c r="AK263" i="1"/>
  <c r="AK262" i="1"/>
  <c r="AK261" i="1"/>
  <c r="AK260" i="1"/>
  <c r="AK259" i="1"/>
  <c r="AK258" i="1"/>
  <c r="AK257" i="1"/>
  <c r="AK256" i="1"/>
  <c r="AK255" i="1"/>
  <c r="AK254" i="1"/>
  <c r="AK253" i="1"/>
  <c r="AK252" i="1"/>
  <c r="AK251" i="1"/>
  <c r="AK250" i="1"/>
  <c r="AK249" i="1"/>
  <c r="AK248" i="1"/>
  <c r="AK247" i="1"/>
  <c r="AK246" i="1"/>
  <c r="AK245" i="1"/>
  <c r="AK244" i="1"/>
  <c r="AK243" i="1"/>
  <c r="AK242" i="1"/>
  <c r="AK241" i="1"/>
  <c r="AK240" i="1"/>
  <c r="AK239" i="1"/>
  <c r="AK238" i="1"/>
  <c r="AK237" i="1"/>
  <c r="AK236" i="1"/>
  <c r="AK235" i="1"/>
  <c r="AK234" i="1"/>
  <c r="AK233" i="1"/>
  <c r="AK232" i="1"/>
  <c r="AK231" i="1"/>
  <c r="AK230" i="1"/>
  <c r="AK229" i="1"/>
  <c r="AK228" i="1"/>
  <c r="AK227" i="1"/>
  <c r="AK226" i="1"/>
  <c r="AK225" i="1"/>
  <c r="AK224" i="1"/>
  <c r="AK223" i="1"/>
  <c r="AK222" i="1"/>
  <c r="AK221" i="1"/>
  <c r="AK220" i="1"/>
  <c r="AK219" i="1"/>
  <c r="AK218" i="1"/>
  <c r="AK217" i="1"/>
  <c r="AK216" i="1"/>
  <c r="AK215" i="1"/>
  <c r="AK214" i="1"/>
  <c r="AK213" i="1"/>
  <c r="AK212" i="1"/>
  <c r="AK211" i="1"/>
  <c r="AK210" i="1"/>
  <c r="AK209" i="1"/>
  <c r="AK208" i="1"/>
  <c r="AK207" i="1"/>
  <c r="AK206" i="1"/>
  <c r="AK205" i="1"/>
  <c r="AK204" i="1"/>
  <c r="AK203" i="1"/>
  <c r="AK202" i="1"/>
  <c r="AK201" i="1"/>
  <c r="AK200" i="1"/>
  <c r="AK199" i="1"/>
  <c r="AK198" i="1"/>
  <c r="AK197" i="1"/>
  <c r="AK196" i="1"/>
  <c r="AK195" i="1"/>
  <c r="AK194" i="1"/>
  <c r="AK193" i="1"/>
  <c r="AK192" i="1"/>
  <c r="AK191" i="1"/>
  <c r="AK190" i="1"/>
  <c r="AK189" i="1"/>
  <c r="AK188" i="1"/>
  <c r="AK187" i="1"/>
  <c r="AK186" i="1"/>
  <c r="AK185" i="1"/>
  <c r="AK184" i="1"/>
  <c r="AK183" i="1"/>
  <c r="AK182" i="1"/>
  <c r="AK181" i="1"/>
  <c r="AK180" i="1"/>
  <c r="AK179" i="1"/>
  <c r="AK178" i="1"/>
  <c r="AK177" i="1"/>
  <c r="AK31" i="1"/>
  <c r="AK176" i="1"/>
  <c r="AK175" i="1"/>
  <c r="AK174" i="1"/>
  <c r="AK173" i="1"/>
  <c r="AK172" i="1"/>
  <c r="AK171" i="1"/>
  <c r="AK170" i="1"/>
  <c r="AK169" i="1"/>
  <c r="AK168" i="1"/>
  <c r="AK167" i="1"/>
  <c r="AK166" i="1"/>
  <c r="AK165" i="1"/>
  <c r="AK164" i="1"/>
  <c r="AK163" i="1"/>
  <c r="AK162" i="1"/>
  <c r="AK161" i="1"/>
  <c r="AK160" i="1"/>
  <c r="AK159" i="1"/>
  <c r="AK158" i="1"/>
  <c r="AK157" i="1"/>
  <c r="AK156" i="1"/>
  <c r="AK152" i="1"/>
  <c r="AK150" i="1"/>
  <c r="AK14" i="1"/>
  <c r="AK149" i="1"/>
  <c r="AK148" i="1"/>
  <c r="AK147" i="1"/>
  <c r="AK146" i="1"/>
  <c r="AK144" i="1"/>
  <c r="AK143" i="1"/>
  <c r="AK141" i="1"/>
  <c r="AK139" i="1"/>
  <c r="AK138" i="1"/>
  <c r="AK137" i="1"/>
  <c r="AK136" i="1"/>
  <c r="AK135" i="1"/>
  <c r="AK134" i="1"/>
  <c r="AK132" i="1"/>
  <c r="AK131" i="1"/>
  <c r="AK129" i="1"/>
  <c r="AK13" i="1"/>
  <c r="AK127" i="1"/>
  <c r="AK126" i="1"/>
  <c r="AK125" i="1"/>
  <c r="AK124" i="1"/>
  <c r="AK122" i="1"/>
  <c r="AK121" i="1"/>
  <c r="AK120" i="1"/>
  <c r="AK119" i="1"/>
  <c r="AK288" i="1"/>
  <c r="AK118" i="1"/>
  <c r="AK117" i="1"/>
  <c r="AK116" i="1"/>
  <c r="AK115" i="1"/>
  <c r="AK114" i="1"/>
  <c r="AK113" i="1"/>
  <c r="AK112" i="1"/>
  <c r="AK111" i="1"/>
  <c r="AK110" i="1"/>
  <c r="AK109" i="1"/>
  <c r="AK108" i="1"/>
  <c r="AK107" i="1"/>
  <c r="AK106" i="1"/>
  <c r="AK104" i="1"/>
  <c r="AK103" i="1"/>
  <c r="AK101" i="1"/>
  <c r="AK12" i="1"/>
  <c r="AK99" i="1"/>
  <c r="AK98" i="1"/>
  <c r="AK97" i="1"/>
  <c r="AK72" i="1"/>
  <c r="AK96" i="1"/>
  <c r="AK145" i="1"/>
  <c r="AK11" i="1"/>
  <c r="AK95" i="1"/>
  <c r="AK93" i="1"/>
  <c r="AK92" i="1"/>
  <c r="AK91" i="1"/>
  <c r="AK90" i="1"/>
  <c r="AK89" i="1"/>
  <c r="AK87" i="1"/>
  <c r="AK86" i="1"/>
  <c r="AK8" i="1"/>
  <c r="AK85" i="1"/>
  <c r="AK84" i="1"/>
  <c r="AK82" i="1"/>
  <c r="AK80" i="1"/>
  <c r="AK79" i="1"/>
  <c r="AK78" i="1"/>
  <c r="AK77" i="1"/>
  <c r="AK76" i="1"/>
  <c r="AK75" i="1"/>
  <c r="AK9" i="1"/>
  <c r="AK74" i="1"/>
  <c r="AK73" i="1"/>
  <c r="AK71" i="1"/>
  <c r="AK70" i="1"/>
  <c r="AK69" i="1"/>
  <c r="AK68" i="1"/>
  <c r="AK67" i="1"/>
  <c r="AK66" i="1"/>
  <c r="AK65" i="1"/>
  <c r="AK48" i="1"/>
  <c r="AK63" i="1"/>
  <c r="AK62" i="1"/>
  <c r="AK60" i="1"/>
  <c r="AK59" i="1"/>
  <c r="AK58" i="1"/>
  <c r="AK54" i="1"/>
  <c r="AK52" i="1"/>
  <c r="AK51" i="1"/>
  <c r="AK50" i="1"/>
  <c r="AK123" i="1"/>
  <c r="AK6" i="1"/>
  <c r="AK47" i="1"/>
  <c r="AK46" i="1"/>
  <c r="AK44" i="1"/>
  <c r="AK42" i="1"/>
  <c r="AK41" i="1"/>
  <c r="AK40" i="1"/>
  <c r="AK39" i="1"/>
  <c r="AK38" i="1"/>
  <c r="AK37" i="1"/>
  <c r="AK36" i="1"/>
  <c r="AK35" i="1"/>
  <c r="AK34" i="1"/>
  <c r="AK33" i="1"/>
  <c r="AK32" i="1"/>
  <c r="AK83" i="1"/>
  <c r="AK30" i="1"/>
  <c r="AK28" i="1"/>
  <c r="AK27" i="1"/>
  <c r="AK26" i="1"/>
  <c r="AK25" i="1"/>
  <c r="AK24" i="1"/>
  <c r="AK23" i="1"/>
  <c r="AK142" i="1"/>
  <c r="AK22" i="1"/>
  <c r="AK21" i="1"/>
  <c r="AK20" i="1"/>
  <c r="AK19" i="1"/>
  <c r="AK18" i="1"/>
  <c r="AK17" i="1"/>
  <c r="AK16" i="1"/>
  <c r="AK15" i="1"/>
  <c r="AK88" i="1"/>
  <c r="AK81" i="1"/>
  <c r="AK7" i="1"/>
  <c r="AK64" i="1"/>
  <c r="AK43" i="1"/>
  <c r="AC334" i="1"/>
  <c r="AC333" i="1"/>
  <c r="AC332" i="1"/>
  <c r="AC331" i="1"/>
  <c r="AC330" i="1"/>
  <c r="AC329" i="1"/>
  <c r="AC328" i="1"/>
  <c r="AC327" i="1"/>
  <c r="AC326" i="1"/>
  <c r="AC325" i="1"/>
  <c r="AC324" i="1"/>
  <c r="AC323" i="1"/>
  <c r="AC322" i="1"/>
  <c r="AC321" i="1"/>
  <c r="AC320" i="1"/>
  <c r="AC319" i="1"/>
  <c r="AC318" i="1"/>
  <c r="AC317" i="1"/>
  <c r="AC316" i="1"/>
  <c r="AC315" i="1"/>
  <c r="AC140" i="1"/>
  <c r="AC314" i="1"/>
  <c r="AC313" i="1"/>
  <c r="AC312" i="1"/>
  <c r="AC311" i="1"/>
  <c r="AC310" i="1"/>
  <c r="AC309" i="1"/>
  <c r="AC308" i="1"/>
  <c r="AC307" i="1"/>
  <c r="AC306" i="1"/>
  <c r="AC305" i="1"/>
  <c r="AC304" i="1"/>
  <c r="AC303" i="1"/>
  <c r="AC302" i="1"/>
  <c r="AC301" i="1"/>
  <c r="AC300" i="1"/>
  <c r="AC299" i="1"/>
  <c r="AC298" i="1"/>
  <c r="AC297" i="1"/>
  <c r="AC296" i="1"/>
  <c r="AC295" i="1"/>
  <c r="AC294" i="1"/>
  <c r="AC293" i="1"/>
  <c r="AC292" i="1"/>
  <c r="AC291" i="1"/>
  <c r="AC290" i="1"/>
  <c r="AC289" i="1"/>
  <c r="AC287" i="1"/>
  <c r="AC286" i="1"/>
  <c r="AC285" i="1"/>
  <c r="AC284" i="1"/>
  <c r="AC283" i="1"/>
  <c r="AC282" i="1"/>
  <c r="AC281" i="1"/>
  <c r="AC280" i="1"/>
  <c r="AC279" i="1"/>
  <c r="AC278" i="1"/>
  <c r="AC277" i="1"/>
  <c r="AC276" i="1"/>
  <c r="AC275" i="1"/>
  <c r="AC274" i="1"/>
  <c r="AC273" i="1"/>
  <c r="AC272" i="1"/>
  <c r="AC271" i="1"/>
  <c r="AC270" i="1"/>
  <c r="AC269" i="1"/>
  <c r="AC268" i="1"/>
  <c r="AC267" i="1"/>
  <c r="AC266" i="1"/>
  <c r="AC265" i="1"/>
  <c r="AC264" i="1"/>
  <c r="AC263" i="1"/>
  <c r="AC262" i="1"/>
  <c r="AC261" i="1"/>
  <c r="AC260" i="1"/>
  <c r="AC259" i="1"/>
  <c r="AC258" i="1"/>
  <c r="AC257" i="1"/>
  <c r="AC256" i="1"/>
  <c r="AC255" i="1"/>
  <c r="AC254" i="1"/>
  <c r="AC253" i="1"/>
  <c r="AC252" i="1"/>
  <c r="AC251" i="1"/>
  <c r="AC250" i="1"/>
  <c r="AC249" i="1"/>
  <c r="AC248" i="1"/>
  <c r="AC247" i="1"/>
  <c r="AC246" i="1"/>
  <c r="AC245" i="1"/>
  <c r="AC244" i="1"/>
  <c r="AC243" i="1"/>
  <c r="AC242" i="1"/>
  <c r="AC241" i="1"/>
  <c r="AC240" i="1"/>
  <c r="AC239" i="1"/>
  <c r="AC238" i="1"/>
  <c r="AC237" i="1"/>
  <c r="AC236" i="1"/>
  <c r="AC235" i="1"/>
  <c r="AC234" i="1"/>
  <c r="AC233" i="1"/>
  <c r="AC232" i="1"/>
  <c r="AC231" i="1"/>
  <c r="AC230" i="1"/>
  <c r="AC229" i="1"/>
  <c r="AC228" i="1"/>
  <c r="AC227" i="1"/>
  <c r="AC226" i="1"/>
  <c r="AC225" i="1"/>
  <c r="AC224" i="1"/>
  <c r="AC223" i="1"/>
  <c r="AC222" i="1"/>
  <c r="AC221" i="1"/>
  <c r="AC220" i="1"/>
  <c r="AC219" i="1"/>
  <c r="AC218" i="1"/>
  <c r="AC217" i="1"/>
  <c r="AC216" i="1"/>
  <c r="AC215" i="1"/>
  <c r="AC214" i="1"/>
  <c r="AC213" i="1"/>
  <c r="AC212" i="1"/>
  <c r="AC211" i="1"/>
  <c r="AC210" i="1"/>
  <c r="AC209" i="1"/>
  <c r="AC208" i="1"/>
  <c r="AC207" i="1"/>
  <c r="AC206" i="1"/>
  <c r="AC205" i="1"/>
  <c r="AC204" i="1"/>
  <c r="AC203" i="1"/>
  <c r="AC202" i="1"/>
  <c r="AC201" i="1"/>
  <c r="AC200" i="1"/>
  <c r="AC199" i="1"/>
  <c r="AC198" i="1"/>
  <c r="AC197" i="1"/>
  <c r="AC196" i="1"/>
  <c r="AC195" i="1"/>
  <c r="AC194" i="1"/>
  <c r="AC193" i="1"/>
  <c r="AC192" i="1"/>
  <c r="AC191" i="1"/>
  <c r="AC190" i="1"/>
  <c r="AC189" i="1"/>
  <c r="AC188" i="1"/>
  <c r="AC187" i="1"/>
  <c r="AC186" i="1"/>
  <c r="AC185" i="1"/>
  <c r="AC184" i="1"/>
  <c r="AC183" i="1"/>
  <c r="AC182" i="1"/>
  <c r="AC181" i="1"/>
  <c r="AC180" i="1"/>
  <c r="AC179" i="1"/>
  <c r="AC178" i="1"/>
  <c r="AC177" i="1"/>
  <c r="AC31" i="1"/>
  <c r="AC176" i="1"/>
  <c r="AC175" i="1"/>
  <c r="AC174" i="1"/>
  <c r="AC173" i="1"/>
  <c r="AC172" i="1"/>
  <c r="AC171" i="1"/>
  <c r="AC170" i="1"/>
  <c r="AC169" i="1"/>
  <c r="AC168" i="1"/>
  <c r="AC167" i="1"/>
  <c r="AC166" i="1"/>
  <c r="AC165" i="1"/>
  <c r="AC164" i="1"/>
  <c r="AC163" i="1"/>
  <c r="AC162" i="1"/>
  <c r="AC161" i="1"/>
  <c r="AC160" i="1"/>
  <c r="AC159" i="1"/>
  <c r="AC158" i="1"/>
  <c r="AC157" i="1"/>
  <c r="AC156" i="1"/>
  <c r="AC152" i="1"/>
  <c r="AC150" i="1"/>
  <c r="AC14" i="1"/>
  <c r="AC149" i="1"/>
  <c r="AC148" i="1"/>
  <c r="AC147" i="1"/>
  <c r="AC146" i="1"/>
  <c r="AC144" i="1"/>
  <c r="AC143" i="1"/>
  <c r="AC141" i="1"/>
  <c r="AC139" i="1"/>
  <c r="AC138" i="1"/>
  <c r="AC137" i="1"/>
  <c r="AC136" i="1"/>
  <c r="AC135" i="1"/>
  <c r="AC134" i="1"/>
  <c r="AC132" i="1"/>
  <c r="AC131" i="1"/>
  <c r="AC129" i="1"/>
  <c r="AC13" i="1"/>
  <c r="AC127" i="1"/>
  <c r="AC126" i="1"/>
  <c r="AC125" i="1"/>
  <c r="AC124" i="1"/>
  <c r="AC122" i="1"/>
  <c r="AC121" i="1"/>
  <c r="AC120" i="1"/>
  <c r="AC119" i="1"/>
  <c r="AC288" i="1"/>
  <c r="AC118" i="1"/>
  <c r="AC117" i="1"/>
  <c r="AC116" i="1"/>
  <c r="AC115" i="1"/>
  <c r="AC114" i="1"/>
  <c r="AC113" i="1"/>
  <c r="AC112" i="1"/>
  <c r="AC111" i="1"/>
  <c r="AC110" i="1"/>
  <c r="AC109" i="1"/>
  <c r="AC108" i="1"/>
  <c r="AC107" i="1"/>
  <c r="AC106" i="1"/>
  <c r="AC104" i="1"/>
  <c r="AC103" i="1"/>
  <c r="AC101" i="1"/>
  <c r="AC12" i="1"/>
  <c r="AC99" i="1"/>
  <c r="AC98" i="1"/>
  <c r="AC97" i="1"/>
  <c r="AC72" i="1"/>
  <c r="AC96" i="1"/>
  <c r="AC145" i="1"/>
  <c r="AC11" i="1"/>
  <c r="AC95" i="1"/>
  <c r="AC93" i="1"/>
  <c r="AC92" i="1"/>
  <c r="AC91" i="1"/>
  <c r="AC90" i="1"/>
  <c r="AC89" i="1"/>
  <c r="AC87" i="1"/>
  <c r="AC86" i="1"/>
  <c r="AC8" i="1"/>
  <c r="AC85" i="1"/>
  <c r="AC84" i="1"/>
  <c r="AC82" i="1"/>
  <c r="AC80" i="1"/>
  <c r="AC79" i="1"/>
  <c r="AC77" i="1"/>
  <c r="AC76" i="1"/>
  <c r="AC75" i="1"/>
  <c r="AC9" i="1"/>
  <c r="AC74" i="1"/>
  <c r="AC73" i="1"/>
  <c r="AC71" i="1"/>
  <c r="AC70" i="1"/>
  <c r="AC69" i="1"/>
  <c r="AC68" i="1"/>
  <c r="AC67" i="1"/>
  <c r="AC66" i="1"/>
  <c r="AC65" i="1"/>
  <c r="AC48" i="1"/>
  <c r="AC63" i="1"/>
  <c r="AC62" i="1"/>
  <c r="AC60" i="1"/>
  <c r="AC59" i="1"/>
  <c r="AC58" i="1"/>
  <c r="AC54" i="1"/>
  <c r="AC52" i="1"/>
  <c r="AC51" i="1"/>
  <c r="AC50" i="1"/>
  <c r="AC123" i="1"/>
  <c r="AC6" i="1"/>
  <c r="AC47" i="1"/>
  <c r="AC46" i="1"/>
  <c r="AC44" i="1"/>
  <c r="AC42" i="1"/>
  <c r="AC41" i="1"/>
  <c r="AC40" i="1"/>
  <c r="AC39" i="1"/>
  <c r="AC38" i="1"/>
  <c r="AC37" i="1"/>
  <c r="AC36" i="1"/>
  <c r="AC35" i="1"/>
  <c r="AC34" i="1"/>
  <c r="AC33" i="1"/>
  <c r="AC32" i="1"/>
  <c r="AC83" i="1"/>
  <c r="AC30" i="1"/>
  <c r="AC28" i="1"/>
  <c r="AC27" i="1"/>
  <c r="AC26" i="1"/>
  <c r="AC25" i="1"/>
  <c r="AC24" i="1"/>
  <c r="AC23" i="1"/>
  <c r="AC142" i="1"/>
  <c r="AC22" i="1"/>
  <c r="AC21" i="1"/>
  <c r="AC20" i="1"/>
  <c r="AC19" i="1"/>
  <c r="AC18" i="1"/>
  <c r="AC17" i="1"/>
  <c r="AC16" i="1"/>
  <c r="AC15" i="1"/>
  <c r="AC88" i="1"/>
  <c r="AC81" i="1"/>
  <c r="AC7" i="1"/>
  <c r="AC64" i="1"/>
  <c r="AC43" i="1"/>
  <c r="Y334" i="1"/>
  <c r="AE334" i="1" s="1"/>
  <c r="Y333" i="1"/>
  <c r="AE333" i="1" s="1"/>
  <c r="Y332" i="1"/>
  <c r="AE332" i="1" s="1"/>
  <c r="Y331" i="1"/>
  <c r="AE331" i="1" s="1"/>
  <c r="Y330" i="1"/>
  <c r="AE330" i="1" s="1"/>
  <c r="Y329" i="1"/>
  <c r="AE329" i="1" s="1"/>
  <c r="Y328" i="1"/>
  <c r="AE328" i="1" s="1"/>
  <c r="Y327" i="1"/>
  <c r="AE327" i="1" s="1"/>
  <c r="Y326" i="1"/>
  <c r="AE326" i="1" s="1"/>
  <c r="Y325" i="1"/>
  <c r="AE325" i="1" s="1"/>
  <c r="Y324" i="1"/>
  <c r="AE324" i="1" s="1"/>
  <c r="Y323" i="1"/>
  <c r="AE323" i="1" s="1"/>
  <c r="Y322" i="1"/>
  <c r="AE322" i="1" s="1"/>
  <c r="Y321" i="1"/>
  <c r="AE321" i="1" s="1"/>
  <c r="Y320" i="1"/>
  <c r="AE320" i="1" s="1"/>
  <c r="Y319" i="1"/>
  <c r="AE319" i="1" s="1"/>
  <c r="Y318" i="1"/>
  <c r="AE318" i="1" s="1"/>
  <c r="Y316" i="1"/>
  <c r="AE316" i="1" s="1"/>
  <c r="Y140" i="1"/>
  <c r="AE140" i="1" s="1"/>
  <c r="Y314" i="1"/>
  <c r="AE314" i="1" s="1"/>
  <c r="Y313" i="1"/>
  <c r="AE313" i="1" s="1"/>
  <c r="Y312" i="1"/>
  <c r="AE312" i="1" s="1"/>
  <c r="Y311" i="1"/>
  <c r="AE311" i="1" s="1"/>
  <c r="Y310" i="1"/>
  <c r="AE310" i="1" s="1"/>
  <c r="Y309" i="1"/>
  <c r="AE309" i="1" s="1"/>
  <c r="Y308" i="1"/>
  <c r="AE308" i="1" s="1"/>
  <c r="Y307" i="1"/>
  <c r="AE307" i="1" s="1"/>
  <c r="Y306" i="1"/>
  <c r="AE306" i="1" s="1"/>
  <c r="Y305" i="1"/>
  <c r="AE305" i="1" s="1"/>
  <c r="Y304" i="1"/>
  <c r="AE304" i="1" s="1"/>
  <c r="Y303" i="1"/>
  <c r="AE303" i="1" s="1"/>
  <c r="Y302" i="1"/>
  <c r="AE302" i="1" s="1"/>
  <c r="Y301" i="1"/>
  <c r="AE301" i="1" s="1"/>
  <c r="Y300" i="1"/>
  <c r="AE300" i="1" s="1"/>
  <c r="Y299" i="1"/>
  <c r="AE299" i="1" s="1"/>
  <c r="Y298" i="1"/>
  <c r="AE298" i="1" s="1"/>
  <c r="Y297" i="1"/>
  <c r="AE297" i="1" s="1"/>
  <c r="Y296" i="1"/>
  <c r="AE296" i="1" s="1"/>
  <c r="Y295" i="1"/>
  <c r="AE295" i="1" s="1"/>
  <c r="Y294" i="1"/>
  <c r="AE294" i="1" s="1"/>
  <c r="Y293" i="1"/>
  <c r="AE293" i="1" s="1"/>
  <c r="Y292" i="1"/>
  <c r="AE292" i="1" s="1"/>
  <c r="Y290" i="1"/>
  <c r="AE290" i="1" s="1"/>
  <c r="Y289" i="1"/>
  <c r="AE289" i="1" s="1"/>
  <c r="Y287" i="1"/>
  <c r="AE287" i="1" s="1"/>
  <c r="Y286" i="1"/>
  <c r="AE286" i="1" s="1"/>
  <c r="Y285" i="1"/>
  <c r="AE285" i="1" s="1"/>
  <c r="Y284" i="1"/>
  <c r="AE284" i="1" s="1"/>
  <c r="Y283" i="1"/>
  <c r="AE283" i="1" s="1"/>
  <c r="Y282" i="1"/>
  <c r="AE282" i="1" s="1"/>
  <c r="Y281" i="1"/>
  <c r="AE281" i="1" s="1"/>
  <c r="Y280" i="1"/>
  <c r="AE280" i="1" s="1"/>
  <c r="Y279" i="1"/>
  <c r="AE279" i="1" s="1"/>
  <c r="Y278" i="1"/>
  <c r="AE278" i="1" s="1"/>
  <c r="Y277" i="1"/>
  <c r="AE277" i="1" s="1"/>
  <c r="Y276" i="1"/>
  <c r="AE276" i="1" s="1"/>
  <c r="Y275" i="1"/>
  <c r="AE275" i="1" s="1"/>
  <c r="Y274" i="1"/>
  <c r="AE274" i="1" s="1"/>
  <c r="Y273" i="1"/>
  <c r="AE273" i="1" s="1"/>
  <c r="Y272" i="1"/>
  <c r="AE272" i="1" s="1"/>
  <c r="Y271" i="1"/>
  <c r="AE271" i="1" s="1"/>
  <c r="Y270" i="1"/>
  <c r="AE270" i="1" s="1"/>
  <c r="Y269" i="1"/>
  <c r="AE269" i="1" s="1"/>
  <c r="Y268" i="1"/>
  <c r="AE268" i="1" s="1"/>
  <c r="Y267" i="1"/>
  <c r="AE267" i="1" s="1"/>
  <c r="Y266" i="1"/>
  <c r="AE266" i="1" s="1"/>
  <c r="Y265" i="1"/>
  <c r="AE265" i="1" s="1"/>
  <c r="Y264" i="1"/>
  <c r="AE264" i="1" s="1"/>
  <c r="Y263" i="1"/>
  <c r="AE263" i="1" s="1"/>
  <c r="Y261" i="1"/>
  <c r="AE261" i="1" s="1"/>
  <c r="Y260" i="1"/>
  <c r="AE260" i="1" s="1"/>
  <c r="Y259" i="1"/>
  <c r="AE259" i="1" s="1"/>
  <c r="Y258" i="1"/>
  <c r="AE258" i="1" s="1"/>
  <c r="Y257" i="1"/>
  <c r="AE257" i="1" s="1"/>
  <c r="Y256" i="1"/>
  <c r="AE256" i="1" s="1"/>
  <c r="Y255" i="1"/>
  <c r="AE255" i="1" s="1"/>
  <c r="Y254" i="1"/>
  <c r="AE254" i="1" s="1"/>
  <c r="Y253" i="1"/>
  <c r="AE253" i="1" s="1"/>
  <c r="Y252" i="1"/>
  <c r="AE252" i="1" s="1"/>
  <c r="Y251" i="1"/>
  <c r="AE251" i="1" s="1"/>
  <c r="Y250" i="1"/>
  <c r="AE250" i="1" s="1"/>
  <c r="Y249" i="1"/>
  <c r="AE249" i="1" s="1"/>
  <c r="Y248" i="1"/>
  <c r="AE248" i="1" s="1"/>
  <c r="Y247" i="1"/>
  <c r="AE247" i="1" s="1"/>
  <c r="Y246" i="1"/>
  <c r="AE246" i="1" s="1"/>
  <c r="Y245" i="1"/>
  <c r="AE245" i="1" s="1"/>
  <c r="Y244" i="1"/>
  <c r="AE244" i="1" s="1"/>
  <c r="Y243" i="1"/>
  <c r="AE243" i="1" s="1"/>
  <c r="Y242" i="1"/>
  <c r="AE242" i="1" s="1"/>
  <c r="Y241" i="1"/>
  <c r="AE241" i="1" s="1"/>
  <c r="Y240" i="1"/>
  <c r="AE240" i="1" s="1"/>
  <c r="Y239" i="1"/>
  <c r="AE239" i="1" s="1"/>
  <c r="Y237" i="1"/>
  <c r="AE237" i="1" s="1"/>
  <c r="Y236" i="1"/>
  <c r="AE236" i="1" s="1"/>
  <c r="Y234" i="1"/>
  <c r="AE234" i="1" s="1"/>
  <c r="Y233" i="1"/>
  <c r="AE233" i="1" s="1"/>
  <c r="Y232" i="1"/>
  <c r="AE232" i="1" s="1"/>
  <c r="Y231" i="1"/>
  <c r="AE231" i="1" s="1"/>
  <c r="Y230" i="1"/>
  <c r="AE230" i="1" s="1"/>
  <c r="Y229" i="1"/>
  <c r="AE229" i="1" s="1"/>
  <c r="Y228" i="1"/>
  <c r="AE228" i="1" s="1"/>
  <c r="Y227" i="1"/>
  <c r="AE227" i="1" s="1"/>
  <c r="Y226" i="1"/>
  <c r="AE226" i="1" s="1"/>
  <c r="Y225" i="1"/>
  <c r="AE225" i="1" s="1"/>
  <c r="Y224" i="1"/>
  <c r="AE224" i="1" s="1"/>
  <c r="Y223" i="1"/>
  <c r="AE223" i="1" s="1"/>
  <c r="Y222" i="1"/>
  <c r="AE222" i="1" s="1"/>
  <c r="Y221" i="1"/>
  <c r="AE221" i="1" s="1"/>
  <c r="Y220" i="1"/>
  <c r="AE220" i="1" s="1"/>
  <c r="Y219" i="1"/>
  <c r="AE219" i="1" s="1"/>
  <c r="Y218" i="1"/>
  <c r="AE218" i="1" s="1"/>
  <c r="Y217" i="1"/>
  <c r="AE217" i="1" s="1"/>
  <c r="Y216" i="1"/>
  <c r="AE216" i="1" s="1"/>
  <c r="Y215" i="1"/>
  <c r="AE215" i="1" s="1"/>
  <c r="Y214" i="1"/>
  <c r="AE214" i="1" s="1"/>
  <c r="Y212" i="1"/>
  <c r="AE212" i="1" s="1"/>
  <c r="Y211" i="1"/>
  <c r="AE211" i="1" s="1"/>
  <c r="Y210" i="1"/>
  <c r="AE210" i="1" s="1"/>
  <c r="Y208" i="1"/>
  <c r="AE208" i="1" s="1"/>
  <c r="Y206" i="1"/>
  <c r="AE206" i="1" s="1"/>
  <c r="Y205" i="1"/>
  <c r="AE205" i="1" s="1"/>
  <c r="Y204" i="1"/>
  <c r="AE204" i="1" s="1"/>
  <c r="Y203" i="1"/>
  <c r="AE203" i="1" s="1"/>
  <c r="Y202" i="1"/>
  <c r="AE202" i="1" s="1"/>
  <c r="Y201" i="1"/>
  <c r="AE201" i="1" s="1"/>
  <c r="Y200" i="1"/>
  <c r="AE200" i="1" s="1"/>
  <c r="Y199" i="1"/>
  <c r="AE199" i="1" s="1"/>
  <c r="Y198" i="1"/>
  <c r="AE198" i="1" s="1"/>
  <c r="Y197" i="1"/>
  <c r="AE197" i="1" s="1"/>
  <c r="Y196" i="1"/>
  <c r="AE196" i="1" s="1"/>
  <c r="Y195" i="1"/>
  <c r="AE195" i="1" s="1"/>
  <c r="Y194" i="1"/>
  <c r="AE194" i="1" s="1"/>
  <c r="Y193" i="1"/>
  <c r="AE193" i="1" s="1"/>
  <c r="Y192" i="1"/>
  <c r="AE192" i="1" s="1"/>
  <c r="Y191" i="1"/>
  <c r="AE191" i="1" s="1"/>
  <c r="Y190" i="1"/>
  <c r="AE190" i="1" s="1"/>
  <c r="Y189" i="1"/>
  <c r="AE189" i="1" s="1"/>
  <c r="Y188" i="1"/>
  <c r="AE188" i="1" s="1"/>
  <c r="Y187" i="1"/>
  <c r="AE187" i="1" s="1"/>
  <c r="Y186" i="1"/>
  <c r="AE186" i="1" s="1"/>
  <c r="Y185" i="1"/>
  <c r="AE185" i="1" s="1"/>
  <c r="Y184" i="1"/>
  <c r="AE184" i="1" s="1"/>
  <c r="Y183" i="1"/>
  <c r="AE183" i="1" s="1"/>
  <c r="Y182" i="1"/>
  <c r="AE182" i="1" s="1"/>
  <c r="Y181" i="1"/>
  <c r="AE181" i="1" s="1"/>
  <c r="Y180" i="1"/>
  <c r="AE180" i="1" s="1"/>
  <c r="Y179" i="1"/>
  <c r="AE179" i="1" s="1"/>
  <c r="Y178" i="1"/>
  <c r="AE178" i="1" s="1"/>
  <c r="Y177" i="1"/>
  <c r="AE177" i="1" s="1"/>
  <c r="Y31" i="1"/>
  <c r="AE31" i="1" s="1"/>
  <c r="Y176" i="1"/>
  <c r="AE176" i="1" s="1"/>
  <c r="Y175" i="1"/>
  <c r="AE175" i="1" s="1"/>
  <c r="Y174" i="1"/>
  <c r="AE174" i="1" s="1"/>
  <c r="Y173" i="1"/>
  <c r="AE173" i="1" s="1"/>
  <c r="Y172" i="1"/>
  <c r="AE172" i="1" s="1"/>
  <c r="Y171" i="1"/>
  <c r="AE171" i="1" s="1"/>
  <c r="Y170" i="1"/>
  <c r="AE170" i="1" s="1"/>
  <c r="Y169" i="1"/>
  <c r="AE169" i="1" s="1"/>
  <c r="Y168" i="1"/>
  <c r="AE168" i="1" s="1"/>
  <c r="Y167" i="1"/>
  <c r="AE167" i="1" s="1"/>
  <c r="Y166" i="1"/>
  <c r="AE166" i="1" s="1"/>
  <c r="Y165" i="1"/>
  <c r="AE165" i="1" s="1"/>
  <c r="Y163" i="1"/>
  <c r="AE163" i="1" s="1"/>
  <c r="Y162" i="1"/>
  <c r="AE162" i="1" s="1"/>
  <c r="Y161" i="1"/>
  <c r="AE161" i="1" s="1"/>
  <c r="Y159" i="1"/>
  <c r="AE159" i="1" s="1"/>
  <c r="Y158" i="1"/>
  <c r="AE158" i="1" s="1"/>
  <c r="Y156" i="1"/>
  <c r="AE156" i="1" s="1"/>
  <c r="Y152" i="1"/>
  <c r="AE152" i="1" s="1"/>
  <c r="Y150" i="1"/>
  <c r="AE150" i="1" s="1"/>
  <c r="Y14" i="1"/>
  <c r="AE14" i="1" s="1"/>
  <c r="Y149" i="1"/>
  <c r="AE149" i="1" s="1"/>
  <c r="Y148" i="1"/>
  <c r="AE148" i="1" s="1"/>
  <c r="Y147" i="1"/>
  <c r="AE147" i="1" s="1"/>
  <c r="Y146" i="1"/>
  <c r="AE146" i="1" s="1"/>
  <c r="Y144" i="1"/>
  <c r="AE144" i="1" s="1"/>
  <c r="Y143" i="1"/>
  <c r="AE143" i="1" s="1"/>
  <c r="Y139" i="1"/>
  <c r="AE139" i="1" s="1"/>
  <c r="Y138" i="1"/>
  <c r="AE138" i="1" s="1"/>
  <c r="Y137" i="1"/>
  <c r="AE137" i="1" s="1"/>
  <c r="Y136" i="1"/>
  <c r="AE136" i="1" s="1"/>
  <c r="Y135" i="1"/>
  <c r="AE135" i="1" s="1"/>
  <c r="Y134" i="1"/>
  <c r="AE134" i="1" s="1"/>
  <c r="Y132" i="1"/>
  <c r="AE132" i="1" s="1"/>
  <c r="Y131" i="1"/>
  <c r="AE131" i="1" s="1"/>
  <c r="Y129" i="1"/>
  <c r="AE129" i="1" s="1"/>
  <c r="Y13" i="1"/>
  <c r="AE13" i="1" s="1"/>
  <c r="Y127" i="1"/>
  <c r="AE127" i="1" s="1"/>
  <c r="Y126" i="1"/>
  <c r="AE126" i="1" s="1"/>
  <c r="Y125" i="1"/>
  <c r="AE125" i="1" s="1"/>
  <c r="Y124" i="1"/>
  <c r="AE124" i="1" s="1"/>
  <c r="Y122" i="1"/>
  <c r="AE122" i="1" s="1"/>
  <c r="Y121" i="1"/>
  <c r="AE121" i="1" s="1"/>
  <c r="Y120" i="1"/>
  <c r="AE120" i="1" s="1"/>
  <c r="Y119" i="1"/>
  <c r="AE119" i="1" s="1"/>
  <c r="Y288" i="1"/>
  <c r="AE288" i="1" s="1"/>
  <c r="Y118" i="1"/>
  <c r="AE118" i="1" s="1"/>
  <c r="Y117" i="1"/>
  <c r="AE117" i="1" s="1"/>
  <c r="Y116" i="1"/>
  <c r="AE116" i="1" s="1"/>
  <c r="Y114" i="1"/>
  <c r="AE114" i="1" s="1"/>
  <c r="Y113" i="1"/>
  <c r="AE113" i="1" s="1"/>
  <c r="Y112" i="1"/>
  <c r="AE112" i="1" s="1"/>
  <c r="Y111" i="1"/>
  <c r="AE111" i="1" s="1"/>
  <c r="Y110" i="1"/>
  <c r="AE110" i="1" s="1"/>
  <c r="Y109" i="1"/>
  <c r="AE109" i="1" s="1"/>
  <c r="Y108" i="1"/>
  <c r="AE108" i="1" s="1"/>
  <c r="Y107" i="1"/>
  <c r="AE107" i="1" s="1"/>
  <c r="Y106" i="1"/>
  <c r="AE106" i="1" s="1"/>
  <c r="Y104" i="1"/>
  <c r="AE104" i="1" s="1"/>
  <c r="Y103" i="1"/>
  <c r="AE103" i="1" s="1"/>
  <c r="Y101" i="1"/>
  <c r="AE101" i="1" s="1"/>
  <c r="Y12" i="1"/>
  <c r="AE12" i="1" s="1"/>
  <c r="Y99" i="1"/>
  <c r="AE99" i="1" s="1"/>
  <c r="Y98" i="1"/>
  <c r="AE98" i="1" s="1"/>
  <c r="Y97" i="1"/>
  <c r="Y72" i="1"/>
  <c r="AE72" i="1" s="1"/>
  <c r="Y96" i="1"/>
  <c r="AE96" i="1" s="1"/>
  <c r="Y145" i="1"/>
  <c r="AE145" i="1" s="1"/>
  <c r="Y11" i="1"/>
  <c r="AE11" i="1" s="1"/>
  <c r="Y95" i="1"/>
  <c r="AE95" i="1" s="1"/>
  <c r="Y93" i="1"/>
  <c r="AE93" i="1" s="1"/>
  <c r="Y92" i="1"/>
  <c r="AE92" i="1" s="1"/>
  <c r="Y91" i="1"/>
  <c r="AE91" i="1" s="1"/>
  <c r="Y90" i="1"/>
  <c r="AE90" i="1" s="1"/>
  <c r="Y89" i="1"/>
  <c r="AE89" i="1" s="1"/>
  <c r="Y87" i="1"/>
  <c r="AE87" i="1" s="1"/>
  <c r="Y86" i="1"/>
  <c r="AE86" i="1" s="1"/>
  <c r="Y8" i="1"/>
  <c r="AE8" i="1" s="1"/>
  <c r="Y85" i="1"/>
  <c r="AE85" i="1" s="1"/>
  <c r="Y84" i="1"/>
  <c r="AE84" i="1" s="1"/>
  <c r="Y82" i="1"/>
  <c r="AE82" i="1" s="1"/>
  <c r="Y80" i="1"/>
  <c r="AE80" i="1" s="1"/>
  <c r="Y78" i="1"/>
  <c r="AE78" i="1" s="1"/>
  <c r="Y77" i="1"/>
  <c r="AE77" i="1" s="1"/>
  <c r="Y76" i="1"/>
  <c r="AE76" i="1" s="1"/>
  <c r="Y75" i="1"/>
  <c r="AE75" i="1" s="1"/>
  <c r="Y9" i="1"/>
  <c r="AE9" i="1" s="1"/>
  <c r="Y74" i="1"/>
  <c r="AE74" i="1" s="1"/>
  <c r="Y73" i="1"/>
  <c r="AE73" i="1" s="1"/>
  <c r="Y71" i="1"/>
  <c r="AE71" i="1" s="1"/>
  <c r="Y70" i="1"/>
  <c r="AE70" i="1" s="1"/>
  <c r="Y69" i="1"/>
  <c r="Y68" i="1"/>
  <c r="AE68" i="1" s="1"/>
  <c r="Y67" i="1"/>
  <c r="AE67" i="1" s="1"/>
  <c r="Y66" i="1"/>
  <c r="AE66" i="1" s="1"/>
  <c r="Y65" i="1"/>
  <c r="AE65" i="1" s="1"/>
  <c r="Y48" i="1"/>
  <c r="AE48" i="1" s="1"/>
  <c r="Y63" i="1"/>
  <c r="AE63" i="1" s="1"/>
  <c r="Y62" i="1"/>
  <c r="AE62" i="1" s="1"/>
  <c r="Y60" i="1"/>
  <c r="AE60" i="1" s="1"/>
  <c r="Y59" i="1"/>
  <c r="AE59" i="1" s="1"/>
  <c r="Y58" i="1"/>
  <c r="AE58" i="1" s="1"/>
  <c r="Y54" i="1"/>
  <c r="AE54" i="1" s="1"/>
  <c r="Y52" i="1"/>
  <c r="AE52" i="1" s="1"/>
  <c r="Y51" i="1"/>
  <c r="AE51" i="1" s="1"/>
  <c r="Y50" i="1"/>
  <c r="AE50" i="1" s="1"/>
  <c r="Y123" i="1"/>
  <c r="AE123" i="1" s="1"/>
  <c r="Y6" i="1"/>
  <c r="AE6" i="1" s="1"/>
  <c r="Y47" i="1"/>
  <c r="AE47" i="1" s="1"/>
  <c r="Y46" i="1"/>
  <c r="AE46" i="1" s="1"/>
  <c r="Y44" i="1"/>
  <c r="AE44" i="1" s="1"/>
  <c r="Y42" i="1"/>
  <c r="AE42" i="1" s="1"/>
  <c r="Y41" i="1"/>
  <c r="AE41" i="1" s="1"/>
  <c r="Y40" i="1"/>
  <c r="AE40" i="1" s="1"/>
  <c r="Y39" i="1"/>
  <c r="Y38" i="1"/>
  <c r="AE38" i="1" s="1"/>
  <c r="Y37" i="1"/>
  <c r="AE37" i="1" s="1"/>
  <c r="Y36" i="1"/>
  <c r="AE36" i="1" s="1"/>
  <c r="Y35" i="1"/>
  <c r="AE35" i="1" s="1"/>
  <c r="Y34" i="1"/>
  <c r="AE34" i="1" s="1"/>
  <c r="Y33" i="1"/>
  <c r="AE33" i="1" s="1"/>
  <c r="Y32" i="1"/>
  <c r="AE32" i="1" s="1"/>
  <c r="Y83" i="1"/>
  <c r="AE83" i="1" s="1"/>
  <c r="Y30" i="1"/>
  <c r="AE30" i="1" s="1"/>
  <c r="Y28" i="1"/>
  <c r="AE28" i="1" s="1"/>
  <c r="Y27" i="1"/>
  <c r="AE27" i="1" s="1"/>
  <c r="Y26" i="1"/>
  <c r="Y25" i="1"/>
  <c r="AE25" i="1" s="1"/>
  <c r="Y24" i="1"/>
  <c r="AE24" i="1" s="1"/>
  <c r="Y23" i="1"/>
  <c r="AE23" i="1" s="1"/>
  <c r="Y142" i="1"/>
  <c r="AE142" i="1" s="1"/>
  <c r="Y22" i="1"/>
  <c r="AE22" i="1" s="1"/>
  <c r="Y21" i="1"/>
  <c r="AE21" i="1" s="1"/>
  <c r="Y20" i="1"/>
  <c r="AE20" i="1" s="1"/>
  <c r="Y19" i="1"/>
  <c r="AE19" i="1" s="1"/>
  <c r="Y18" i="1"/>
  <c r="AE18" i="1" s="1"/>
  <c r="Y17" i="1"/>
  <c r="AE17" i="1" s="1"/>
  <c r="Y16" i="1"/>
  <c r="AE16" i="1" s="1"/>
  <c r="Y15" i="1"/>
  <c r="Y88" i="1"/>
  <c r="AE88" i="1" s="1"/>
  <c r="Y81" i="1"/>
  <c r="AE81" i="1" s="1"/>
  <c r="Y7" i="1"/>
  <c r="AE7" i="1" s="1"/>
  <c r="Y64" i="1"/>
  <c r="AE64" i="1" s="1"/>
  <c r="Y43" i="1"/>
  <c r="AE43" i="1" s="1"/>
  <c r="V334" i="1"/>
  <c r="W334" i="1" s="1"/>
  <c r="V333" i="1"/>
  <c r="W333" i="1" s="1"/>
  <c r="V332" i="1"/>
  <c r="W332" i="1" s="1"/>
  <c r="V331" i="1"/>
  <c r="W331" i="1" s="1"/>
  <c r="V330" i="1"/>
  <c r="W330" i="1" s="1"/>
  <c r="V329" i="1"/>
  <c r="W329" i="1" s="1"/>
  <c r="V328" i="1"/>
  <c r="W328" i="1" s="1"/>
  <c r="V327" i="1"/>
  <c r="W327" i="1" s="1"/>
  <c r="V326" i="1"/>
  <c r="W326" i="1" s="1"/>
  <c r="V325" i="1"/>
  <c r="W325" i="1" s="1"/>
  <c r="V324" i="1"/>
  <c r="W324" i="1" s="1"/>
  <c r="V323" i="1"/>
  <c r="W323" i="1" s="1"/>
  <c r="V322" i="1"/>
  <c r="W322" i="1" s="1"/>
  <c r="V321" i="1"/>
  <c r="W321" i="1" s="1"/>
  <c r="V320" i="1"/>
  <c r="W320" i="1" s="1"/>
  <c r="V319" i="1"/>
  <c r="W319" i="1" s="1"/>
  <c r="V318" i="1"/>
  <c r="W318" i="1" s="1"/>
  <c r="V317" i="1"/>
  <c r="W317" i="1" s="1"/>
  <c r="V316" i="1"/>
  <c r="W316" i="1" s="1"/>
  <c r="V315" i="1"/>
  <c r="W315" i="1" s="1"/>
  <c r="V140" i="1"/>
  <c r="W140" i="1" s="1"/>
  <c r="V314" i="1"/>
  <c r="W314" i="1" s="1"/>
  <c r="V313" i="1"/>
  <c r="W313" i="1" s="1"/>
  <c r="V312" i="1"/>
  <c r="W312" i="1" s="1"/>
  <c r="V311" i="1"/>
  <c r="W311" i="1" s="1"/>
  <c r="V310" i="1"/>
  <c r="W310" i="1" s="1"/>
  <c r="V309" i="1"/>
  <c r="W309" i="1" s="1"/>
  <c r="V308" i="1"/>
  <c r="W308" i="1" s="1"/>
  <c r="V307" i="1"/>
  <c r="W307" i="1" s="1"/>
  <c r="V306" i="1"/>
  <c r="W306" i="1" s="1"/>
  <c r="V305" i="1"/>
  <c r="W305" i="1" s="1"/>
  <c r="V304" i="1"/>
  <c r="W304" i="1" s="1"/>
  <c r="V303" i="1"/>
  <c r="W303" i="1" s="1"/>
  <c r="V302" i="1"/>
  <c r="W302" i="1" s="1"/>
  <c r="V301" i="1"/>
  <c r="W301" i="1" s="1"/>
  <c r="V300" i="1"/>
  <c r="W300" i="1" s="1"/>
  <c r="V299" i="1"/>
  <c r="W299" i="1" s="1"/>
  <c r="V298" i="1"/>
  <c r="W298" i="1" s="1"/>
  <c r="V297" i="1"/>
  <c r="W297" i="1" s="1"/>
  <c r="V296" i="1"/>
  <c r="W296" i="1" s="1"/>
  <c r="V295" i="1"/>
  <c r="W295" i="1" s="1"/>
  <c r="V294" i="1"/>
  <c r="W294" i="1" s="1"/>
  <c r="V293" i="1"/>
  <c r="W293" i="1" s="1"/>
  <c r="V292" i="1"/>
  <c r="W292" i="1" s="1"/>
  <c r="V291" i="1"/>
  <c r="W291" i="1" s="1"/>
  <c r="V290" i="1"/>
  <c r="W290" i="1" s="1"/>
  <c r="V289" i="1"/>
  <c r="W289" i="1" s="1"/>
  <c r="V287" i="1"/>
  <c r="W287" i="1" s="1"/>
  <c r="V286" i="1"/>
  <c r="W286" i="1" s="1"/>
  <c r="V285" i="1"/>
  <c r="W285" i="1" s="1"/>
  <c r="V284" i="1"/>
  <c r="W284" i="1" s="1"/>
  <c r="V283" i="1"/>
  <c r="W283" i="1" s="1"/>
  <c r="V282" i="1"/>
  <c r="W282" i="1" s="1"/>
  <c r="V281" i="1"/>
  <c r="W281" i="1" s="1"/>
  <c r="V280" i="1"/>
  <c r="W280" i="1" s="1"/>
  <c r="V279" i="1"/>
  <c r="W279" i="1" s="1"/>
  <c r="V278" i="1"/>
  <c r="W278" i="1" s="1"/>
  <c r="V277" i="1"/>
  <c r="W277" i="1" s="1"/>
  <c r="V276" i="1"/>
  <c r="W276" i="1" s="1"/>
  <c r="V275" i="1"/>
  <c r="W275" i="1" s="1"/>
  <c r="V274" i="1"/>
  <c r="W274" i="1" s="1"/>
  <c r="V273" i="1"/>
  <c r="W273" i="1" s="1"/>
  <c r="V272" i="1"/>
  <c r="W272" i="1" s="1"/>
  <c r="V271" i="1"/>
  <c r="W271" i="1" s="1"/>
  <c r="V270" i="1"/>
  <c r="W270" i="1" s="1"/>
  <c r="V269" i="1"/>
  <c r="W269" i="1" s="1"/>
  <c r="V268" i="1"/>
  <c r="W268" i="1" s="1"/>
  <c r="V267" i="1"/>
  <c r="W267" i="1" s="1"/>
  <c r="V266" i="1"/>
  <c r="W266" i="1" s="1"/>
  <c r="V265" i="1"/>
  <c r="W265" i="1" s="1"/>
  <c r="V264" i="1"/>
  <c r="W264" i="1" s="1"/>
  <c r="V263" i="1"/>
  <c r="W263" i="1" s="1"/>
  <c r="V262" i="1"/>
  <c r="W262" i="1" s="1"/>
  <c r="V261" i="1"/>
  <c r="W261" i="1" s="1"/>
  <c r="V260" i="1"/>
  <c r="W260" i="1" s="1"/>
  <c r="V259" i="1"/>
  <c r="W259" i="1" s="1"/>
  <c r="V258" i="1"/>
  <c r="W258" i="1" s="1"/>
  <c r="V257" i="1"/>
  <c r="W257" i="1" s="1"/>
  <c r="V256" i="1"/>
  <c r="W256" i="1" s="1"/>
  <c r="V255" i="1"/>
  <c r="W255" i="1" s="1"/>
  <c r="V254" i="1"/>
  <c r="W254" i="1" s="1"/>
  <c r="V253" i="1"/>
  <c r="W253" i="1" s="1"/>
  <c r="V252" i="1"/>
  <c r="W252" i="1" s="1"/>
  <c r="V251" i="1"/>
  <c r="W251" i="1" s="1"/>
  <c r="V250" i="1"/>
  <c r="W250" i="1" s="1"/>
  <c r="V249" i="1"/>
  <c r="W249" i="1" s="1"/>
  <c r="V248" i="1"/>
  <c r="W248" i="1" s="1"/>
  <c r="V247" i="1"/>
  <c r="W247" i="1" s="1"/>
  <c r="V246" i="1"/>
  <c r="W246" i="1" s="1"/>
  <c r="V245" i="1"/>
  <c r="W245" i="1" s="1"/>
  <c r="V244" i="1"/>
  <c r="W244" i="1" s="1"/>
  <c r="V243" i="1"/>
  <c r="W243" i="1" s="1"/>
  <c r="V242" i="1"/>
  <c r="W242" i="1" s="1"/>
  <c r="V241" i="1"/>
  <c r="W241" i="1" s="1"/>
  <c r="V240" i="1"/>
  <c r="W240" i="1" s="1"/>
  <c r="V239" i="1"/>
  <c r="W239" i="1" s="1"/>
  <c r="V238" i="1"/>
  <c r="W238" i="1" s="1"/>
  <c r="V237" i="1"/>
  <c r="W237" i="1" s="1"/>
  <c r="V236" i="1"/>
  <c r="W236" i="1" s="1"/>
  <c r="V235" i="1"/>
  <c r="W235" i="1" s="1"/>
  <c r="V234" i="1"/>
  <c r="W234" i="1" s="1"/>
  <c r="V233" i="1"/>
  <c r="W233" i="1" s="1"/>
  <c r="V232" i="1"/>
  <c r="W232" i="1" s="1"/>
  <c r="V231" i="1"/>
  <c r="W231" i="1" s="1"/>
  <c r="V230" i="1"/>
  <c r="W230" i="1" s="1"/>
  <c r="V229" i="1"/>
  <c r="W229" i="1" s="1"/>
  <c r="V228" i="1"/>
  <c r="W228" i="1" s="1"/>
  <c r="V227" i="1"/>
  <c r="W227" i="1" s="1"/>
  <c r="V226" i="1"/>
  <c r="W226" i="1" s="1"/>
  <c r="V225" i="1"/>
  <c r="W225" i="1" s="1"/>
  <c r="V224" i="1"/>
  <c r="W224" i="1" s="1"/>
  <c r="V223" i="1"/>
  <c r="W223" i="1" s="1"/>
  <c r="V222" i="1"/>
  <c r="W222" i="1" s="1"/>
  <c r="V221" i="1"/>
  <c r="W221" i="1" s="1"/>
  <c r="V220" i="1"/>
  <c r="W220" i="1" s="1"/>
  <c r="V219" i="1"/>
  <c r="W219" i="1" s="1"/>
  <c r="V218" i="1"/>
  <c r="W218" i="1" s="1"/>
  <c r="V217" i="1"/>
  <c r="W217" i="1" s="1"/>
  <c r="V216" i="1"/>
  <c r="W216" i="1" s="1"/>
  <c r="V215" i="1"/>
  <c r="W215" i="1" s="1"/>
  <c r="V214" i="1"/>
  <c r="W214" i="1" s="1"/>
  <c r="V213" i="1"/>
  <c r="W213" i="1" s="1"/>
  <c r="V212" i="1"/>
  <c r="W212" i="1" s="1"/>
  <c r="V211" i="1"/>
  <c r="W211" i="1" s="1"/>
  <c r="V210" i="1"/>
  <c r="W210" i="1" s="1"/>
  <c r="V209" i="1"/>
  <c r="W209" i="1" s="1"/>
  <c r="V208" i="1"/>
  <c r="W208" i="1" s="1"/>
  <c r="V207" i="1"/>
  <c r="W207" i="1" s="1"/>
  <c r="V206" i="1"/>
  <c r="W206" i="1" s="1"/>
  <c r="V205" i="1"/>
  <c r="W205" i="1" s="1"/>
  <c r="V204" i="1"/>
  <c r="W204" i="1" s="1"/>
  <c r="V203" i="1"/>
  <c r="W203" i="1" s="1"/>
  <c r="V202" i="1"/>
  <c r="W202" i="1" s="1"/>
  <c r="V201" i="1"/>
  <c r="W201" i="1" s="1"/>
  <c r="V200" i="1"/>
  <c r="W200" i="1" s="1"/>
  <c r="V199" i="1"/>
  <c r="W199" i="1" s="1"/>
  <c r="V198" i="1"/>
  <c r="W198" i="1" s="1"/>
  <c r="V197" i="1"/>
  <c r="W197" i="1" s="1"/>
  <c r="V196" i="1"/>
  <c r="W196" i="1" s="1"/>
  <c r="V195" i="1"/>
  <c r="W195" i="1" s="1"/>
  <c r="V194" i="1"/>
  <c r="W194" i="1" s="1"/>
  <c r="V193" i="1"/>
  <c r="W193" i="1" s="1"/>
  <c r="V192" i="1"/>
  <c r="W192" i="1" s="1"/>
  <c r="V191" i="1"/>
  <c r="W191" i="1" s="1"/>
  <c r="V190" i="1"/>
  <c r="W190" i="1" s="1"/>
  <c r="V189" i="1"/>
  <c r="W189" i="1" s="1"/>
  <c r="V188" i="1"/>
  <c r="W188" i="1" s="1"/>
  <c r="V187" i="1"/>
  <c r="W187" i="1" s="1"/>
  <c r="V186" i="1"/>
  <c r="W186" i="1" s="1"/>
  <c r="V185" i="1"/>
  <c r="W185" i="1" s="1"/>
  <c r="V184" i="1"/>
  <c r="W184" i="1" s="1"/>
  <c r="V183" i="1"/>
  <c r="W183" i="1" s="1"/>
  <c r="V182" i="1"/>
  <c r="W182" i="1" s="1"/>
  <c r="V181" i="1"/>
  <c r="W181" i="1" s="1"/>
  <c r="V180" i="1"/>
  <c r="W180" i="1" s="1"/>
  <c r="V179" i="1"/>
  <c r="W179" i="1" s="1"/>
  <c r="V178" i="1"/>
  <c r="W178" i="1" s="1"/>
  <c r="V177" i="1"/>
  <c r="W177" i="1" s="1"/>
  <c r="V31" i="1"/>
  <c r="W31" i="1" s="1"/>
  <c r="V176" i="1"/>
  <c r="W176" i="1" s="1"/>
  <c r="V175" i="1"/>
  <c r="W175" i="1" s="1"/>
  <c r="V174" i="1"/>
  <c r="W174" i="1" s="1"/>
  <c r="V173" i="1"/>
  <c r="W173" i="1" s="1"/>
  <c r="V172" i="1"/>
  <c r="W172" i="1" s="1"/>
  <c r="V171" i="1"/>
  <c r="W171" i="1" s="1"/>
  <c r="V170" i="1"/>
  <c r="W170" i="1" s="1"/>
  <c r="V169" i="1"/>
  <c r="W169" i="1" s="1"/>
  <c r="V168" i="1"/>
  <c r="W168" i="1" s="1"/>
  <c r="V167" i="1"/>
  <c r="W167" i="1" s="1"/>
  <c r="V166" i="1"/>
  <c r="W166" i="1" s="1"/>
  <c r="V165" i="1"/>
  <c r="W165" i="1" s="1"/>
  <c r="V164" i="1"/>
  <c r="W164" i="1" s="1"/>
  <c r="V163" i="1"/>
  <c r="W163" i="1" s="1"/>
  <c r="V162" i="1"/>
  <c r="W162" i="1" s="1"/>
  <c r="V161" i="1"/>
  <c r="W161" i="1" s="1"/>
  <c r="V160" i="1"/>
  <c r="W160" i="1" s="1"/>
  <c r="V159" i="1"/>
  <c r="W159" i="1" s="1"/>
  <c r="V158" i="1"/>
  <c r="W158" i="1" s="1"/>
  <c r="V157" i="1"/>
  <c r="W157" i="1" s="1"/>
  <c r="V156" i="1"/>
  <c r="W156" i="1" s="1"/>
  <c r="V152" i="1"/>
  <c r="W152" i="1" s="1"/>
  <c r="V150" i="1"/>
  <c r="W150" i="1" s="1"/>
  <c r="V14" i="1"/>
  <c r="W14" i="1" s="1"/>
  <c r="V149" i="1"/>
  <c r="W149" i="1" s="1"/>
  <c r="V148" i="1"/>
  <c r="W148" i="1" s="1"/>
  <c r="V147" i="1"/>
  <c r="W147" i="1" s="1"/>
  <c r="V146" i="1"/>
  <c r="W146" i="1" s="1"/>
  <c r="V144" i="1"/>
  <c r="W144" i="1" s="1"/>
  <c r="V143" i="1"/>
  <c r="W143" i="1" s="1"/>
  <c r="V141" i="1"/>
  <c r="W141" i="1" s="1"/>
  <c r="V139" i="1"/>
  <c r="W139" i="1" s="1"/>
  <c r="V138" i="1"/>
  <c r="W138" i="1" s="1"/>
  <c r="V137" i="1"/>
  <c r="W137" i="1" s="1"/>
  <c r="V136" i="1"/>
  <c r="W136" i="1" s="1"/>
  <c r="V135" i="1"/>
  <c r="W135" i="1" s="1"/>
  <c r="V134" i="1"/>
  <c r="W134" i="1" s="1"/>
  <c r="V132" i="1"/>
  <c r="W132" i="1" s="1"/>
  <c r="V131" i="1"/>
  <c r="W131" i="1" s="1"/>
  <c r="V129" i="1"/>
  <c r="W129" i="1" s="1"/>
  <c r="V13" i="1"/>
  <c r="W13" i="1" s="1"/>
  <c r="V127" i="1"/>
  <c r="W127" i="1" s="1"/>
  <c r="V126" i="1"/>
  <c r="W126" i="1" s="1"/>
  <c r="V125" i="1"/>
  <c r="W125" i="1" s="1"/>
  <c r="V124" i="1"/>
  <c r="W124" i="1" s="1"/>
  <c r="V122" i="1"/>
  <c r="W122" i="1" s="1"/>
  <c r="V121" i="1"/>
  <c r="W121" i="1" s="1"/>
  <c r="V120" i="1"/>
  <c r="W120" i="1" s="1"/>
  <c r="V119" i="1"/>
  <c r="W119" i="1" s="1"/>
  <c r="V288" i="1"/>
  <c r="W288" i="1" s="1"/>
  <c r="V118" i="1"/>
  <c r="W118" i="1" s="1"/>
  <c r="V117" i="1"/>
  <c r="W117" i="1" s="1"/>
  <c r="V116" i="1"/>
  <c r="W116" i="1" s="1"/>
  <c r="V115" i="1"/>
  <c r="W115" i="1" s="1"/>
  <c r="V114" i="1"/>
  <c r="W114" i="1" s="1"/>
  <c r="V113" i="1"/>
  <c r="W113" i="1" s="1"/>
  <c r="V112" i="1"/>
  <c r="W112" i="1" s="1"/>
  <c r="V111" i="1"/>
  <c r="W111" i="1" s="1"/>
  <c r="V110" i="1"/>
  <c r="W110" i="1" s="1"/>
  <c r="V109" i="1"/>
  <c r="W109" i="1" s="1"/>
  <c r="V108" i="1"/>
  <c r="W108" i="1" s="1"/>
  <c r="V107" i="1"/>
  <c r="W107" i="1" s="1"/>
  <c r="V106" i="1"/>
  <c r="W106" i="1" s="1"/>
  <c r="V104" i="1"/>
  <c r="W104" i="1" s="1"/>
  <c r="V103" i="1"/>
  <c r="W103" i="1" s="1"/>
  <c r="V101" i="1"/>
  <c r="W101" i="1" s="1"/>
  <c r="V12" i="1"/>
  <c r="W12" i="1" s="1"/>
  <c r="V99" i="1"/>
  <c r="W99" i="1" s="1"/>
  <c r="V98" i="1"/>
  <c r="W98" i="1" s="1"/>
  <c r="V97" i="1"/>
  <c r="W97" i="1" s="1"/>
  <c r="V72" i="1"/>
  <c r="W72" i="1" s="1"/>
  <c r="V96" i="1"/>
  <c r="W96" i="1" s="1"/>
  <c r="V145" i="1"/>
  <c r="W145" i="1" s="1"/>
  <c r="V11" i="1"/>
  <c r="W11" i="1" s="1"/>
  <c r="V95" i="1"/>
  <c r="W95" i="1" s="1"/>
  <c r="V93" i="1"/>
  <c r="W93" i="1" s="1"/>
  <c r="V92" i="1"/>
  <c r="W92" i="1" s="1"/>
  <c r="V91" i="1"/>
  <c r="W91" i="1" s="1"/>
  <c r="V90" i="1"/>
  <c r="W90" i="1" s="1"/>
  <c r="V89" i="1"/>
  <c r="W89" i="1" s="1"/>
  <c r="V87" i="1"/>
  <c r="W87" i="1" s="1"/>
  <c r="V86" i="1"/>
  <c r="W86" i="1" s="1"/>
  <c r="V8" i="1"/>
  <c r="W8" i="1" s="1"/>
  <c r="V85" i="1"/>
  <c r="W85" i="1" s="1"/>
  <c r="V84" i="1"/>
  <c r="W84" i="1" s="1"/>
  <c r="V82" i="1"/>
  <c r="W82" i="1" s="1"/>
  <c r="V80" i="1"/>
  <c r="W80" i="1" s="1"/>
  <c r="V79" i="1"/>
  <c r="W79" i="1" s="1"/>
  <c r="V78" i="1"/>
  <c r="W78" i="1" s="1"/>
  <c r="V77" i="1"/>
  <c r="W77" i="1" s="1"/>
  <c r="V76" i="1"/>
  <c r="W76" i="1" s="1"/>
  <c r="V75" i="1"/>
  <c r="W75" i="1" s="1"/>
  <c r="V9" i="1"/>
  <c r="W9" i="1" s="1"/>
  <c r="V74" i="1"/>
  <c r="W74" i="1" s="1"/>
  <c r="V73" i="1"/>
  <c r="W73" i="1" s="1"/>
  <c r="V71" i="1"/>
  <c r="W71" i="1" s="1"/>
  <c r="V70" i="1"/>
  <c r="W70" i="1" s="1"/>
  <c r="V69" i="1"/>
  <c r="W69" i="1" s="1"/>
  <c r="V68" i="1"/>
  <c r="W68" i="1" s="1"/>
  <c r="V67" i="1"/>
  <c r="W67" i="1" s="1"/>
  <c r="V66" i="1"/>
  <c r="W66" i="1" s="1"/>
  <c r="V65" i="1"/>
  <c r="W65" i="1" s="1"/>
  <c r="V48" i="1"/>
  <c r="W48" i="1" s="1"/>
  <c r="V63" i="1"/>
  <c r="W63" i="1" s="1"/>
  <c r="V62" i="1"/>
  <c r="W62" i="1" s="1"/>
  <c r="V60" i="1"/>
  <c r="W60" i="1" s="1"/>
  <c r="V59" i="1"/>
  <c r="W59" i="1" s="1"/>
  <c r="V58" i="1"/>
  <c r="W58" i="1" s="1"/>
  <c r="V54" i="1"/>
  <c r="W54" i="1" s="1"/>
  <c r="V52" i="1"/>
  <c r="W52" i="1" s="1"/>
  <c r="V51" i="1"/>
  <c r="W51" i="1" s="1"/>
  <c r="V50" i="1"/>
  <c r="W50" i="1" s="1"/>
  <c r="V123" i="1"/>
  <c r="W123" i="1" s="1"/>
  <c r="V6" i="1"/>
  <c r="W6" i="1" s="1"/>
  <c r="V47" i="1"/>
  <c r="W47" i="1" s="1"/>
  <c r="V46" i="1"/>
  <c r="W46" i="1" s="1"/>
  <c r="V44" i="1"/>
  <c r="W44" i="1" s="1"/>
  <c r="V42" i="1"/>
  <c r="W42" i="1" s="1"/>
  <c r="V41" i="1"/>
  <c r="W41" i="1" s="1"/>
  <c r="V40" i="1"/>
  <c r="W40" i="1" s="1"/>
  <c r="V39" i="1"/>
  <c r="W39" i="1" s="1"/>
  <c r="V38" i="1"/>
  <c r="W38" i="1" s="1"/>
  <c r="V37" i="1"/>
  <c r="W37" i="1" s="1"/>
  <c r="V36" i="1"/>
  <c r="W36" i="1" s="1"/>
  <c r="V35" i="1"/>
  <c r="W35" i="1" s="1"/>
  <c r="V34" i="1"/>
  <c r="W34" i="1" s="1"/>
  <c r="V33" i="1"/>
  <c r="W33" i="1" s="1"/>
  <c r="V32" i="1"/>
  <c r="W32" i="1" s="1"/>
  <c r="V83" i="1"/>
  <c r="W83" i="1" s="1"/>
  <c r="V30" i="1"/>
  <c r="W30" i="1" s="1"/>
  <c r="V28" i="1"/>
  <c r="W28" i="1" s="1"/>
  <c r="V27" i="1"/>
  <c r="W27" i="1" s="1"/>
  <c r="V26" i="1"/>
  <c r="W26" i="1" s="1"/>
  <c r="V25" i="1"/>
  <c r="W25" i="1" s="1"/>
  <c r="V24" i="1"/>
  <c r="W24" i="1" s="1"/>
  <c r="V23" i="1"/>
  <c r="W23" i="1" s="1"/>
  <c r="V142" i="1"/>
  <c r="W142" i="1" s="1"/>
  <c r="V22" i="1"/>
  <c r="W22" i="1" s="1"/>
  <c r="V21" i="1"/>
  <c r="W21" i="1" s="1"/>
  <c r="V20" i="1"/>
  <c r="W20" i="1" s="1"/>
  <c r="V19" i="1"/>
  <c r="W19" i="1" s="1"/>
  <c r="V18" i="1"/>
  <c r="W18" i="1" s="1"/>
  <c r="V17" i="1"/>
  <c r="W17" i="1" s="1"/>
  <c r="V16" i="1"/>
  <c r="W16" i="1" s="1"/>
  <c r="V15" i="1"/>
  <c r="W15" i="1" s="1"/>
  <c r="V88" i="1"/>
  <c r="W88" i="1" s="1"/>
  <c r="V81" i="1"/>
  <c r="W81" i="1" s="1"/>
  <c r="V7" i="1"/>
  <c r="W7" i="1" s="1"/>
  <c r="V64" i="1"/>
  <c r="W64" i="1" s="1"/>
  <c r="V43" i="1"/>
  <c r="W43" i="1" s="1"/>
  <c r="S334" i="1"/>
  <c r="S333" i="1"/>
  <c r="S332" i="1"/>
  <c r="S331" i="1"/>
  <c r="S330" i="1"/>
  <c r="S329" i="1"/>
  <c r="S328" i="1"/>
  <c r="S327" i="1"/>
  <c r="S326" i="1"/>
  <c r="S325" i="1"/>
  <c r="S324" i="1"/>
  <c r="S323" i="1"/>
  <c r="S322" i="1"/>
  <c r="S321" i="1"/>
  <c r="S320" i="1"/>
  <c r="S319" i="1"/>
  <c r="S318" i="1"/>
  <c r="S317" i="1"/>
  <c r="S316" i="1"/>
  <c r="S315" i="1"/>
  <c r="S140"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31" i="1"/>
  <c r="S176" i="1"/>
  <c r="S175" i="1"/>
  <c r="S174" i="1"/>
  <c r="S173" i="1"/>
  <c r="S172" i="1"/>
  <c r="S171" i="1"/>
  <c r="S170" i="1"/>
  <c r="S169" i="1"/>
  <c r="S168" i="1"/>
  <c r="S167" i="1"/>
  <c r="S166" i="1"/>
  <c r="S165" i="1"/>
  <c r="S164" i="1"/>
  <c r="S163" i="1"/>
  <c r="S162" i="1"/>
  <c r="S161" i="1"/>
  <c r="S160" i="1"/>
  <c r="S159" i="1"/>
  <c r="S158" i="1"/>
  <c r="S157" i="1"/>
  <c r="S156" i="1"/>
  <c r="S152" i="1"/>
  <c r="S150" i="1"/>
  <c r="S14" i="1"/>
  <c r="S149" i="1"/>
  <c r="S148" i="1"/>
  <c r="S147" i="1"/>
  <c r="S146" i="1"/>
  <c r="S144" i="1"/>
  <c r="S143" i="1"/>
  <c r="S141" i="1"/>
  <c r="S139" i="1"/>
  <c r="S138" i="1"/>
  <c r="S137" i="1"/>
  <c r="S136" i="1"/>
  <c r="S135" i="1"/>
  <c r="S134" i="1"/>
  <c r="S132" i="1"/>
  <c r="S131" i="1"/>
  <c r="S129" i="1"/>
  <c r="S13" i="1"/>
  <c r="S127" i="1"/>
  <c r="S126" i="1"/>
  <c r="S125" i="1"/>
  <c r="S124" i="1"/>
  <c r="S122" i="1"/>
  <c r="S121" i="1"/>
  <c r="S120" i="1"/>
  <c r="S119" i="1"/>
  <c r="S288" i="1"/>
  <c r="S118" i="1"/>
  <c r="S117" i="1"/>
  <c r="S116" i="1"/>
  <c r="S115" i="1"/>
  <c r="S114" i="1"/>
  <c r="S113" i="1"/>
  <c r="S112" i="1"/>
  <c r="S111" i="1"/>
  <c r="S110" i="1"/>
  <c r="S109" i="1"/>
  <c r="S108" i="1"/>
  <c r="S107" i="1"/>
  <c r="S106" i="1"/>
  <c r="S104" i="1"/>
  <c r="S103" i="1"/>
  <c r="S101" i="1"/>
  <c r="S12" i="1"/>
  <c r="S99" i="1"/>
  <c r="S98" i="1"/>
  <c r="S97" i="1"/>
  <c r="S72" i="1"/>
  <c r="S96" i="1"/>
  <c r="S145" i="1"/>
  <c r="S11" i="1"/>
  <c r="S95" i="1"/>
  <c r="S93" i="1"/>
  <c r="S92" i="1"/>
  <c r="S91" i="1"/>
  <c r="S90" i="1"/>
  <c r="S89" i="1"/>
  <c r="S87" i="1"/>
  <c r="S86" i="1"/>
  <c r="S8" i="1"/>
  <c r="S85" i="1"/>
  <c r="S84" i="1"/>
  <c r="S82" i="1"/>
  <c r="S80" i="1"/>
  <c r="S79" i="1"/>
  <c r="S78" i="1"/>
  <c r="S77" i="1"/>
  <c r="S76" i="1"/>
  <c r="S75" i="1"/>
  <c r="S9" i="1"/>
  <c r="S74" i="1"/>
  <c r="S73" i="1"/>
  <c r="S71" i="1"/>
  <c r="S70" i="1"/>
  <c r="S69" i="1"/>
  <c r="S68" i="1"/>
  <c r="S67" i="1"/>
  <c r="S66" i="1"/>
  <c r="S65" i="1"/>
  <c r="S48" i="1"/>
  <c r="S63" i="1"/>
  <c r="S62" i="1"/>
  <c r="S60" i="1"/>
  <c r="S59" i="1"/>
  <c r="S58" i="1"/>
  <c r="S54" i="1"/>
  <c r="S52" i="1"/>
  <c r="S51" i="1"/>
  <c r="S50" i="1"/>
  <c r="S123" i="1"/>
  <c r="S6" i="1"/>
  <c r="S47" i="1"/>
  <c r="S46" i="1"/>
  <c r="S44" i="1"/>
  <c r="S42" i="1"/>
  <c r="S41" i="1"/>
  <c r="S40" i="1"/>
  <c r="S39" i="1"/>
  <c r="S38" i="1"/>
  <c r="S37" i="1"/>
  <c r="S36" i="1"/>
  <c r="S35" i="1"/>
  <c r="S34" i="1"/>
  <c r="S33" i="1"/>
  <c r="S32" i="1"/>
  <c r="S83" i="1"/>
  <c r="S30" i="1"/>
  <c r="S28" i="1"/>
  <c r="S27" i="1"/>
  <c r="S26" i="1"/>
  <c r="S25" i="1"/>
  <c r="S24" i="1"/>
  <c r="S23" i="1"/>
  <c r="S142" i="1"/>
  <c r="S22" i="1"/>
  <c r="S21" i="1"/>
  <c r="S20" i="1"/>
  <c r="S19" i="1"/>
  <c r="S18" i="1"/>
  <c r="S17" i="1"/>
  <c r="S16" i="1"/>
  <c r="S15" i="1"/>
  <c r="S88" i="1"/>
  <c r="S81" i="1"/>
  <c r="S7" i="1"/>
  <c r="S64" i="1"/>
  <c r="S43" i="1"/>
  <c r="V56" i="1"/>
  <c r="W56" i="1" s="1"/>
  <c r="DH56" i="1"/>
  <c r="DF56" i="1"/>
  <c r="CQ56" i="1"/>
  <c r="CO56" i="1"/>
  <c r="CJ56" i="1"/>
  <c r="CH56" i="1"/>
  <c r="CC56" i="1"/>
  <c r="BU56" i="1"/>
  <c r="BM56" i="1"/>
  <c r="AZ56" i="1"/>
  <c r="AY56" i="1"/>
  <c r="AX56" i="1"/>
  <c r="AC56" i="1"/>
  <c r="Y56" i="1"/>
  <c r="AE56" i="1" s="1"/>
  <c r="S56" i="1"/>
  <c r="AD100" i="1" l="1"/>
  <c r="AF100" i="1" s="1"/>
  <c r="W100" i="1"/>
  <c r="DE100" i="1"/>
  <c r="DI100" i="1"/>
  <c r="DJ100" i="1"/>
  <c r="CZ100" i="1"/>
  <c r="CY100" i="1"/>
  <c r="DG100" i="1"/>
  <c r="AD128" i="1"/>
  <c r="AF128" i="1" s="1"/>
  <c r="W128" i="1"/>
  <c r="DE128" i="1"/>
  <c r="DI128" i="1"/>
  <c r="DQ128" i="1"/>
  <c r="CZ128" i="1"/>
  <c r="DR128" i="1" s="1"/>
  <c r="CY128" i="1"/>
  <c r="DG128" i="1"/>
  <c r="AD133" i="1"/>
  <c r="AF133" i="1" s="1"/>
  <c r="W133" i="1"/>
  <c r="DE133" i="1"/>
  <c r="DI133" i="1"/>
  <c r="DJ133" i="1"/>
  <c r="CZ133" i="1"/>
  <c r="CY133" i="1"/>
  <c r="DG133" i="1"/>
  <c r="AD94" i="1"/>
  <c r="AF94" i="1" s="1"/>
  <c r="W94" i="1"/>
  <c r="DE94" i="1"/>
  <c r="DI94" i="1"/>
  <c r="DJ94" i="1"/>
  <c r="CZ94" i="1"/>
  <c r="DR94" i="1" s="1"/>
  <c r="CY94" i="1"/>
  <c r="DG94" i="1"/>
  <c r="AD55" i="1"/>
  <c r="AF55" i="1" s="1"/>
  <c r="W55" i="1"/>
  <c r="DE55" i="1"/>
  <c r="DI55" i="1"/>
  <c r="DJ55" i="1"/>
  <c r="CZ55" i="1"/>
  <c r="CY55" i="1"/>
  <c r="DG55" i="1"/>
  <c r="DG59" i="1"/>
  <c r="CY75" i="1"/>
  <c r="CY27" i="1"/>
  <c r="CY117" i="1"/>
  <c r="DG119" i="1"/>
  <c r="CZ7" i="1"/>
  <c r="CZ85" i="1"/>
  <c r="W130" i="1"/>
  <c r="AF130" i="1"/>
  <c r="DE130" i="1"/>
  <c r="DI130" i="1"/>
  <c r="DJ130" i="1"/>
  <c r="CZ130" i="1"/>
  <c r="CY130" i="1"/>
  <c r="DG130" i="1"/>
  <c r="AD49" i="1"/>
  <c r="AF49" i="1" s="1"/>
  <c r="W49" i="1"/>
  <c r="DE49" i="1"/>
  <c r="DI49" i="1"/>
  <c r="DJ49" i="1"/>
  <c r="CZ49" i="1"/>
  <c r="DR49" i="1" s="1"/>
  <c r="CY49" i="1"/>
  <c r="DG49" i="1"/>
  <c r="DJ7" i="1"/>
  <c r="DG48" i="1"/>
  <c r="DG73" i="1"/>
  <c r="DG177" i="1"/>
  <c r="CZ118" i="1"/>
  <c r="DD111" i="1"/>
  <c r="DP111" i="1" s="1"/>
  <c r="DI114" i="1"/>
  <c r="DG117" i="1"/>
  <c r="DI121" i="1"/>
  <c r="DI131" i="1"/>
  <c r="DI141" i="1"/>
  <c r="DI162" i="1"/>
  <c r="DI170" i="1"/>
  <c r="DG173" i="1"/>
  <c r="DI177" i="1"/>
  <c r="DI185" i="1"/>
  <c r="DI193" i="1"/>
  <c r="DI201" i="1"/>
  <c r="DI209" i="1"/>
  <c r="CZ272" i="1"/>
  <c r="DD114" i="1"/>
  <c r="DQ114" i="1" s="1"/>
  <c r="DD141" i="1"/>
  <c r="DQ141" i="1" s="1"/>
  <c r="DD162" i="1"/>
  <c r="DD233" i="1"/>
  <c r="DD241" i="1"/>
  <c r="DG149" i="1"/>
  <c r="CY37" i="1"/>
  <c r="CY68" i="1"/>
  <c r="CZ126" i="1"/>
  <c r="CY302" i="1"/>
  <c r="CY333" i="1"/>
  <c r="CY181" i="1"/>
  <c r="CY237" i="1"/>
  <c r="CZ294" i="1"/>
  <c r="DG269" i="1"/>
  <c r="CY91" i="1"/>
  <c r="CY269" i="1"/>
  <c r="CZ299" i="1"/>
  <c r="CZ311" i="1"/>
  <c r="DD198" i="1"/>
  <c r="DD206" i="1"/>
  <c r="DD214" i="1"/>
  <c r="DN214" i="1" s="1"/>
  <c r="DD254" i="1"/>
  <c r="DP254" i="1" s="1"/>
  <c r="DD262" i="1"/>
  <c r="DD270" i="1"/>
  <c r="DN270" i="1" s="1"/>
  <c r="DD318" i="1"/>
  <c r="DD326" i="1"/>
  <c r="DI217" i="1"/>
  <c r="DI225" i="1"/>
  <c r="DI233" i="1"/>
  <c r="CZ64" i="1"/>
  <c r="CZ20" i="1"/>
  <c r="CY26" i="1"/>
  <c r="CY46" i="1"/>
  <c r="CY54" i="1"/>
  <c r="CY66" i="1"/>
  <c r="CZ125" i="1"/>
  <c r="DR125" i="1" s="1"/>
  <c r="CY204" i="1"/>
  <c r="CZ252" i="1"/>
  <c r="DG255" i="1"/>
  <c r="CY180" i="1"/>
  <c r="CY220" i="1"/>
  <c r="CY227" i="1"/>
  <c r="CZ236" i="1"/>
  <c r="CY259" i="1"/>
  <c r="CY332" i="1"/>
  <c r="DG242" i="1"/>
  <c r="CY36" i="1"/>
  <c r="CZ9" i="1"/>
  <c r="CY92" i="1"/>
  <c r="CZ116" i="1"/>
  <c r="CY172" i="1"/>
  <c r="CY187" i="1"/>
  <c r="CY244" i="1"/>
  <c r="CY251" i="1"/>
  <c r="CY275" i="1"/>
  <c r="CY292" i="1"/>
  <c r="CY308" i="1"/>
  <c r="CZ324" i="1"/>
  <c r="DD15" i="1"/>
  <c r="DD142" i="1"/>
  <c r="DQ142" i="1" s="1"/>
  <c r="DD83" i="1"/>
  <c r="DP83" i="1" s="1"/>
  <c r="DD191" i="1"/>
  <c r="CY196" i="1"/>
  <c r="CY284" i="1"/>
  <c r="CZ315" i="1"/>
  <c r="CZ179" i="1"/>
  <c r="CY267" i="1"/>
  <c r="CY35" i="1"/>
  <c r="CY84" i="1"/>
  <c r="CY98" i="1"/>
  <c r="CY109" i="1"/>
  <c r="CY164" i="1"/>
  <c r="CZ188" i="1"/>
  <c r="CY195" i="1"/>
  <c r="CZ219" i="1"/>
  <c r="CY235" i="1"/>
  <c r="CY243" i="1"/>
  <c r="CY276" i="1"/>
  <c r="CZ316" i="1"/>
  <c r="CZ323" i="1"/>
  <c r="DR323" i="1" s="1"/>
  <c r="DD19" i="1"/>
  <c r="DD26" i="1"/>
  <c r="DD164" i="1"/>
  <c r="DQ164" i="1" s="1"/>
  <c r="DD172" i="1"/>
  <c r="DD179" i="1"/>
  <c r="DP179" i="1" s="1"/>
  <c r="DD187" i="1"/>
  <c r="DG273" i="1"/>
  <c r="CZ93" i="1"/>
  <c r="DR93" i="1" s="1"/>
  <c r="CY135" i="1"/>
  <c r="CY293" i="1"/>
  <c r="DG23" i="1"/>
  <c r="DG232" i="1"/>
  <c r="CY192" i="1"/>
  <c r="DD110" i="1"/>
  <c r="DD136" i="1"/>
  <c r="DG187" i="1"/>
  <c r="DG283" i="1"/>
  <c r="CY142" i="1"/>
  <c r="CY83" i="1"/>
  <c r="CZ208" i="1"/>
  <c r="DG76" i="1"/>
  <c r="DD89" i="1"/>
  <c r="DG30" i="1"/>
  <c r="DG222" i="1"/>
  <c r="DG318" i="1"/>
  <c r="CZ280" i="1"/>
  <c r="DG41" i="1"/>
  <c r="DG185" i="1"/>
  <c r="DG27" i="1"/>
  <c r="DI33" i="1"/>
  <c r="DI41" i="1"/>
  <c r="DI51" i="1"/>
  <c r="DI48" i="1"/>
  <c r="DI73" i="1"/>
  <c r="DI80" i="1"/>
  <c r="DI90" i="1"/>
  <c r="DI72" i="1"/>
  <c r="DI106" i="1"/>
  <c r="DI241" i="1"/>
  <c r="DI249" i="1"/>
  <c r="DI257" i="1"/>
  <c r="DI265" i="1"/>
  <c r="DG268" i="1"/>
  <c r="DI273" i="1"/>
  <c r="DI281" i="1"/>
  <c r="DI290" i="1"/>
  <c r="DG293" i="1"/>
  <c r="DI298" i="1"/>
  <c r="DI306" i="1"/>
  <c r="CY15" i="1"/>
  <c r="DJ132" i="1"/>
  <c r="DJ242" i="1"/>
  <c r="CY248" i="1"/>
  <c r="CZ108" i="1"/>
  <c r="CZ110" i="1"/>
  <c r="CZ115" i="1"/>
  <c r="CZ136" i="1"/>
  <c r="CZ165" i="1"/>
  <c r="DR165" i="1" s="1"/>
  <c r="CZ169" i="1"/>
  <c r="CZ186" i="1"/>
  <c r="CZ194" i="1"/>
  <c r="DR194" i="1" s="1"/>
  <c r="CY211" i="1"/>
  <c r="CZ229" i="1"/>
  <c r="CY245" i="1"/>
  <c r="CZ277" i="1"/>
  <c r="DR277" i="1" s="1"/>
  <c r="DI314" i="1"/>
  <c r="DI321" i="1"/>
  <c r="DI329" i="1"/>
  <c r="DB165" i="1"/>
  <c r="DK165" i="1" s="1"/>
  <c r="DL165" i="1" s="1"/>
  <c r="DB316" i="1"/>
  <c r="DO316" i="1" s="1"/>
  <c r="DB324" i="1"/>
  <c r="DB332" i="1"/>
  <c r="DS332" i="1" s="1"/>
  <c r="DI43" i="1"/>
  <c r="DI18" i="1"/>
  <c r="DI25" i="1"/>
  <c r="CZ225" i="1"/>
  <c r="CY305" i="1"/>
  <c r="DQ26" i="1"/>
  <c r="DJ86" i="1"/>
  <c r="DG303" i="1"/>
  <c r="DI15" i="1"/>
  <c r="DI142" i="1"/>
  <c r="DI83" i="1"/>
  <c r="DI38" i="1"/>
  <c r="DI6" i="1"/>
  <c r="DI60" i="1"/>
  <c r="DI69" i="1"/>
  <c r="DI77" i="1"/>
  <c r="DI86" i="1"/>
  <c r="DI11" i="1"/>
  <c r="DI101" i="1"/>
  <c r="DI111" i="1"/>
  <c r="DI288" i="1"/>
  <c r="DI127" i="1"/>
  <c r="DI137" i="1"/>
  <c r="DI148" i="1"/>
  <c r="DI159" i="1"/>
  <c r="DI167" i="1"/>
  <c r="DI175" i="1"/>
  <c r="DI182" i="1"/>
  <c r="DI190" i="1"/>
  <c r="DI198" i="1"/>
  <c r="DI206" i="1"/>
  <c r="DI214" i="1"/>
  <c r="DI222" i="1"/>
  <c r="DI230" i="1"/>
  <c r="DI238" i="1"/>
  <c r="DI246" i="1"/>
  <c r="DI254" i="1"/>
  <c r="DI262" i="1"/>
  <c r="DI270" i="1"/>
  <c r="DI278" i="1"/>
  <c r="DI286" i="1"/>
  <c r="DI295" i="1"/>
  <c r="DG165" i="1"/>
  <c r="DG47" i="1"/>
  <c r="DJ50" i="1"/>
  <c r="DG136" i="1"/>
  <c r="AD127" i="1"/>
  <c r="AF127" i="1" s="1"/>
  <c r="AD137" i="1"/>
  <c r="AF137" i="1" s="1"/>
  <c r="AD148" i="1"/>
  <c r="AF148" i="1" s="1"/>
  <c r="CZ67" i="1"/>
  <c r="CY73" i="1"/>
  <c r="CY96" i="1"/>
  <c r="CZ99" i="1"/>
  <c r="CZ124" i="1"/>
  <c r="CZ144" i="1"/>
  <c r="DR144" i="1" s="1"/>
  <c r="DR96" i="1"/>
  <c r="DG56" i="1"/>
  <c r="DI150" i="1"/>
  <c r="CY121" i="1"/>
  <c r="CY132" i="1"/>
  <c r="DG143" i="1"/>
  <c r="DG163" i="1"/>
  <c r="DG171" i="1"/>
  <c r="DG178" i="1"/>
  <c r="CY104" i="1"/>
  <c r="CY240" i="1"/>
  <c r="CY256" i="1"/>
  <c r="CY328" i="1"/>
  <c r="DQ226" i="1"/>
  <c r="DB169" i="1"/>
  <c r="DB328" i="1"/>
  <c r="DS328" i="1" s="1"/>
  <c r="DI274" i="1"/>
  <c r="DI282" i="1"/>
  <c r="DI291" i="1"/>
  <c r="CY17" i="1"/>
  <c r="CY24" i="1"/>
  <c r="CY131" i="1"/>
  <c r="CY141" i="1"/>
  <c r="CY162" i="1"/>
  <c r="CY170" i="1"/>
  <c r="CZ177" i="1"/>
  <c r="DR177" i="1" s="1"/>
  <c r="CY185" i="1"/>
  <c r="CY216" i="1"/>
  <c r="CY290" i="1"/>
  <c r="DG103" i="1"/>
  <c r="DI88" i="1"/>
  <c r="DI22" i="1"/>
  <c r="DI30" i="1"/>
  <c r="DI37" i="1"/>
  <c r="DI47" i="1"/>
  <c r="DI59" i="1"/>
  <c r="DI68" i="1"/>
  <c r="DI76" i="1"/>
  <c r="DI8" i="1"/>
  <c r="DI95" i="1"/>
  <c r="DI12" i="1"/>
  <c r="DI110" i="1"/>
  <c r="DI118" i="1"/>
  <c r="DI126" i="1"/>
  <c r="DI136" i="1"/>
  <c r="DI147" i="1"/>
  <c r="DI158" i="1"/>
  <c r="DG161" i="1"/>
  <c r="DI166" i="1"/>
  <c r="DI174" i="1"/>
  <c r="DI181" i="1"/>
  <c r="DG184" i="1"/>
  <c r="DI189" i="1"/>
  <c r="DI197" i="1"/>
  <c r="DI205" i="1"/>
  <c r="DG208" i="1"/>
  <c r="DI213" i="1"/>
  <c r="DI221" i="1"/>
  <c r="DI229" i="1"/>
  <c r="DI237" i="1"/>
  <c r="DI245" i="1"/>
  <c r="DI253" i="1"/>
  <c r="DG272" i="1"/>
  <c r="DG289" i="1"/>
  <c r="DG305" i="1"/>
  <c r="DG320" i="1"/>
  <c r="CY40" i="1"/>
  <c r="CY50" i="1"/>
  <c r="CY14" i="1"/>
  <c r="CY232" i="1"/>
  <c r="CY273" i="1"/>
  <c r="DG20" i="1"/>
  <c r="DG156" i="1"/>
  <c r="DG219" i="1"/>
  <c r="DG235" i="1"/>
  <c r="DG259" i="1"/>
  <c r="DJ43" i="1"/>
  <c r="CY32" i="1"/>
  <c r="CY63" i="1"/>
  <c r="CY72" i="1"/>
  <c r="CY113" i="1"/>
  <c r="CY120" i="1"/>
  <c r="CY201" i="1"/>
  <c r="CY209" i="1"/>
  <c r="CY306" i="1"/>
  <c r="DL72" i="1"/>
  <c r="DG137" i="1"/>
  <c r="DG167" i="1"/>
  <c r="DG182" i="1"/>
  <c r="DG286" i="1"/>
  <c r="DG311" i="1"/>
  <c r="CY71" i="1"/>
  <c r="CY79" i="1"/>
  <c r="CY89" i="1"/>
  <c r="CY129" i="1"/>
  <c r="CY139" i="1"/>
  <c r="CY31" i="1"/>
  <c r="CZ193" i="1"/>
  <c r="CY249" i="1"/>
  <c r="CZ265" i="1"/>
  <c r="DR265" i="1" s="1"/>
  <c r="CY281" i="1"/>
  <c r="CY298" i="1"/>
  <c r="CY329" i="1"/>
  <c r="DQ36" i="1"/>
  <c r="DG25" i="1"/>
  <c r="DG51" i="1"/>
  <c r="DG241" i="1"/>
  <c r="DG298" i="1"/>
  <c r="DI303" i="1"/>
  <c r="DI311" i="1"/>
  <c r="DI318" i="1"/>
  <c r="DI326" i="1"/>
  <c r="DI334" i="1"/>
  <c r="CY184" i="1"/>
  <c r="CY241" i="1"/>
  <c r="CZ257" i="1"/>
  <c r="DR257" i="1" s="1"/>
  <c r="DP89" i="1"/>
  <c r="DJ118" i="1"/>
  <c r="DP98" i="1"/>
  <c r="CZ146" i="1"/>
  <c r="DR146" i="1" s="1"/>
  <c r="CZ157" i="1"/>
  <c r="DR157" i="1" s="1"/>
  <c r="CZ161" i="1"/>
  <c r="CZ163" i="1"/>
  <c r="DR163" i="1" s="1"/>
  <c r="CZ174" i="1"/>
  <c r="DR174" i="1" s="1"/>
  <c r="CZ200" i="1"/>
  <c r="CZ224" i="1"/>
  <c r="DR224" i="1" s="1"/>
  <c r="CZ260" i="1"/>
  <c r="DR260" i="1" s="1"/>
  <c r="CZ268" i="1"/>
  <c r="CZ297" i="1"/>
  <c r="CZ301" i="1"/>
  <c r="DR301" i="1" s="1"/>
  <c r="CZ330" i="1"/>
  <c r="DR330" i="1" s="1"/>
  <c r="DR39" i="1"/>
  <c r="DR123" i="1"/>
  <c r="DR87" i="1"/>
  <c r="DR119" i="1"/>
  <c r="DR13" i="1"/>
  <c r="DR168" i="1"/>
  <c r="DR176" i="1"/>
  <c r="DR191" i="1"/>
  <c r="DR199" i="1"/>
  <c r="DR215" i="1"/>
  <c r="DR223" i="1"/>
  <c r="DR231" i="1"/>
  <c r="DR287" i="1"/>
  <c r="DR296" i="1"/>
  <c r="DR312" i="1"/>
  <c r="AD159" i="1"/>
  <c r="AF159" i="1" s="1"/>
  <c r="DJ56" i="1"/>
  <c r="AD38" i="1"/>
  <c r="AF38" i="1" s="1"/>
  <c r="AD60" i="1"/>
  <c r="AF60" i="1" s="1"/>
  <c r="AD77" i="1"/>
  <c r="AF77" i="1" s="1"/>
  <c r="AD11" i="1"/>
  <c r="AF11" i="1" s="1"/>
  <c r="AD13" i="1"/>
  <c r="AF13" i="1" s="1"/>
  <c r="DJ64" i="1"/>
  <c r="AD87" i="1"/>
  <c r="AF87" i="1" s="1"/>
  <c r="AD112" i="1"/>
  <c r="AF112" i="1" s="1"/>
  <c r="DI28" i="1"/>
  <c r="DG7" i="1"/>
  <c r="DR38" i="1"/>
  <c r="DI123" i="1"/>
  <c r="DJ12" i="1"/>
  <c r="DJ126" i="1"/>
  <c r="DJ287" i="1"/>
  <c r="DL287" i="1" s="1"/>
  <c r="DR22" i="1"/>
  <c r="DC124" i="1"/>
  <c r="DD124" i="1" s="1"/>
  <c r="DN124" i="1" s="1"/>
  <c r="AD143" i="1"/>
  <c r="AF143" i="1" s="1"/>
  <c r="AD152" i="1"/>
  <c r="AF152" i="1" s="1"/>
  <c r="AD163" i="1"/>
  <c r="AF163" i="1" s="1"/>
  <c r="AD274" i="1"/>
  <c r="AF274" i="1" s="1"/>
  <c r="DI64" i="1"/>
  <c r="DI19" i="1"/>
  <c r="DI26" i="1"/>
  <c r="DI34" i="1"/>
  <c r="DI42" i="1"/>
  <c r="DI52" i="1"/>
  <c r="DI65" i="1"/>
  <c r="DI74" i="1"/>
  <c r="DI82" i="1"/>
  <c r="DI91" i="1"/>
  <c r="DI97" i="1"/>
  <c r="DI107" i="1"/>
  <c r="DI115" i="1"/>
  <c r="DI122" i="1"/>
  <c r="DI132" i="1"/>
  <c r="DI143" i="1"/>
  <c r="DI152" i="1"/>
  <c r="DI163" i="1"/>
  <c r="DI171" i="1"/>
  <c r="DI178" i="1"/>
  <c r="DI186" i="1"/>
  <c r="DI194" i="1"/>
  <c r="DI202" i="1"/>
  <c r="DI210" i="1"/>
  <c r="DI218" i="1"/>
  <c r="DI226" i="1"/>
  <c r="DI234" i="1"/>
  <c r="DI242" i="1"/>
  <c r="DI250" i="1"/>
  <c r="DI258" i="1"/>
  <c r="DI266" i="1"/>
  <c r="DJ76" i="1"/>
  <c r="DJ113" i="1"/>
  <c r="DI56" i="1"/>
  <c r="DB124" i="1"/>
  <c r="DB275" i="1"/>
  <c r="DK275" i="1" s="1"/>
  <c r="DL275" i="1" s="1"/>
  <c r="DI261" i="1"/>
  <c r="DI269" i="1"/>
  <c r="DI277" i="1"/>
  <c r="DI285" i="1"/>
  <c r="DI294" i="1"/>
  <c r="DI302" i="1"/>
  <c r="DI310" i="1"/>
  <c r="DI317" i="1"/>
  <c r="DI325" i="1"/>
  <c r="DI333" i="1"/>
  <c r="DJ35" i="1"/>
  <c r="DJ38" i="1"/>
  <c r="DJ42" i="1"/>
  <c r="DJ47" i="1"/>
  <c r="DJ69" i="1"/>
  <c r="DI32" i="1"/>
  <c r="DI297" i="1"/>
  <c r="DI305" i="1"/>
  <c r="DI313" i="1"/>
  <c r="DI320" i="1"/>
  <c r="DI328" i="1"/>
  <c r="DJ22" i="1"/>
  <c r="DJ25" i="1"/>
  <c r="DL25" i="1" s="1"/>
  <c r="DJ51" i="1"/>
  <c r="DR37" i="1"/>
  <c r="AD36" i="1"/>
  <c r="AF36" i="1" s="1"/>
  <c r="AD58" i="1"/>
  <c r="AF58" i="1" s="1"/>
  <c r="DI108" i="1"/>
  <c r="DI315" i="1"/>
  <c r="DI323" i="1"/>
  <c r="DI331" i="1"/>
  <c r="DR142" i="1"/>
  <c r="CZ253" i="1"/>
  <c r="CY264" i="1"/>
  <c r="CZ283" i="1"/>
  <c r="DR283" i="1" s="1"/>
  <c r="CY140" i="1"/>
  <c r="CZ321" i="1"/>
  <c r="DC81" i="1"/>
  <c r="DD81" i="1" s="1"/>
  <c r="DP81" i="1" s="1"/>
  <c r="DA81" i="1"/>
  <c r="DB81" i="1" s="1"/>
  <c r="DC85" i="1"/>
  <c r="DD85" i="1" s="1"/>
  <c r="DN85" i="1" s="1"/>
  <c r="DA85" i="1"/>
  <c r="DB85" i="1" s="1"/>
  <c r="DK85" i="1" s="1"/>
  <c r="CS64" i="1"/>
  <c r="DR64" i="1"/>
  <c r="DA88" i="1"/>
  <c r="DB88" i="1" s="1"/>
  <c r="DK88" i="1" s="1"/>
  <c r="DC88" i="1"/>
  <c r="DD88" i="1" s="1"/>
  <c r="DQ88" i="1" s="1"/>
  <c r="DC90" i="1"/>
  <c r="DD90" i="1" s="1"/>
  <c r="DA90" i="1"/>
  <c r="DB90" i="1" s="1"/>
  <c r="DC58" i="1"/>
  <c r="DD58" i="1" s="1"/>
  <c r="DQ58" i="1" s="1"/>
  <c r="DA58" i="1"/>
  <c r="DB58" i="1" s="1"/>
  <c r="DA157" i="1"/>
  <c r="DB157" i="1" s="1"/>
  <c r="DK157" i="1" s="1"/>
  <c r="DL157" i="1" s="1"/>
  <c r="DC157" i="1"/>
  <c r="DD157" i="1" s="1"/>
  <c r="DN157" i="1" s="1"/>
  <c r="DN135" i="1"/>
  <c r="DP135" i="1"/>
  <c r="DN31" i="1"/>
  <c r="DP31" i="1"/>
  <c r="DP280" i="1"/>
  <c r="DN280" i="1"/>
  <c r="DP313" i="1"/>
  <c r="DN313" i="1"/>
  <c r="DJ28" i="1"/>
  <c r="CS69" i="1"/>
  <c r="DR69" i="1"/>
  <c r="DQ305" i="1"/>
  <c r="DG33" i="1"/>
  <c r="DA39" i="1"/>
  <c r="DB39" i="1" s="1"/>
  <c r="DC39" i="1"/>
  <c r="DD39" i="1" s="1"/>
  <c r="CZ62" i="1"/>
  <c r="DR62" i="1" s="1"/>
  <c r="CY62" i="1"/>
  <c r="CZ70" i="1"/>
  <c r="DR70" i="1" s="1"/>
  <c r="CY70" i="1"/>
  <c r="CY103" i="1"/>
  <c r="CZ103" i="1"/>
  <c r="CZ112" i="1"/>
  <c r="DR112" i="1" s="1"/>
  <c r="CY112" i="1"/>
  <c r="DR149" i="1"/>
  <c r="CZ207" i="1"/>
  <c r="CY207" i="1"/>
  <c r="CY239" i="1"/>
  <c r="CZ239" i="1"/>
  <c r="CZ255" i="1"/>
  <c r="DR255" i="1" s="1"/>
  <c r="CY255" i="1"/>
  <c r="CZ263" i="1"/>
  <c r="DR263" i="1" s="1"/>
  <c r="CY263" i="1"/>
  <c r="CY271" i="1"/>
  <c r="CZ271" i="1"/>
  <c r="DR271" i="1" s="1"/>
  <c r="CZ304" i="1"/>
  <c r="DR304" i="1" s="1"/>
  <c r="CY304" i="1"/>
  <c r="DC46" i="1"/>
  <c r="DD46" i="1" s="1"/>
  <c r="DN46" i="1" s="1"/>
  <c r="DA46" i="1"/>
  <c r="DB46" i="1" s="1"/>
  <c r="DK46" i="1" s="1"/>
  <c r="DE75" i="1"/>
  <c r="DA125" i="1"/>
  <c r="DB125" i="1" s="1"/>
  <c r="DS125" i="1" s="1"/>
  <c r="DC125" i="1"/>
  <c r="DD125" i="1" s="1"/>
  <c r="DE196" i="1"/>
  <c r="DP40" i="1"/>
  <c r="DN40" i="1"/>
  <c r="DP109" i="1"/>
  <c r="DN109" i="1"/>
  <c r="DP220" i="1"/>
  <c r="DN220" i="1"/>
  <c r="DP236" i="1"/>
  <c r="DN236" i="1"/>
  <c r="DP264" i="1"/>
  <c r="DN264" i="1"/>
  <c r="DP320" i="1"/>
  <c r="DN320" i="1"/>
  <c r="CS201" i="1"/>
  <c r="DR201" i="1"/>
  <c r="AD78" i="1"/>
  <c r="AF78" i="1" s="1"/>
  <c r="AD103" i="1"/>
  <c r="AF103" i="1" s="1"/>
  <c r="AD119" i="1"/>
  <c r="AF119" i="1" s="1"/>
  <c r="DC16" i="1"/>
  <c r="DD16" i="1" s="1"/>
  <c r="DA16" i="1"/>
  <c r="DB16" i="1" s="1"/>
  <c r="DS16" i="1" s="1"/>
  <c r="DC23" i="1"/>
  <c r="DD23" i="1" s="1"/>
  <c r="DA23" i="1"/>
  <c r="DB23" i="1" s="1"/>
  <c r="DA123" i="1"/>
  <c r="DB123" i="1" s="1"/>
  <c r="DS123" i="1" s="1"/>
  <c r="DC123" i="1"/>
  <c r="DD123" i="1" s="1"/>
  <c r="DN123" i="1" s="1"/>
  <c r="DA62" i="1"/>
  <c r="DB62" i="1" s="1"/>
  <c r="DC62" i="1"/>
  <c r="DD62" i="1" s="1"/>
  <c r="DA70" i="1"/>
  <c r="DB70" i="1" s="1"/>
  <c r="DS70" i="1" s="1"/>
  <c r="DC70" i="1"/>
  <c r="DD70" i="1" s="1"/>
  <c r="DQ70" i="1" s="1"/>
  <c r="DA78" i="1"/>
  <c r="DB78" i="1" s="1"/>
  <c r="DS78" i="1" s="1"/>
  <c r="DC78" i="1"/>
  <c r="DD78" i="1" s="1"/>
  <c r="DA87" i="1"/>
  <c r="DB87" i="1" s="1"/>
  <c r="DS87" i="1" s="1"/>
  <c r="DC87" i="1"/>
  <c r="DD87" i="1" s="1"/>
  <c r="DA145" i="1"/>
  <c r="DB145" i="1" s="1"/>
  <c r="DC145" i="1"/>
  <c r="DD145" i="1" s="1"/>
  <c r="DA103" i="1"/>
  <c r="DB103" i="1" s="1"/>
  <c r="DS103" i="1" s="1"/>
  <c r="DC103" i="1"/>
  <c r="DD103" i="1" s="1"/>
  <c r="DE112" i="1"/>
  <c r="DE119" i="1"/>
  <c r="DE13" i="1"/>
  <c r="DE138" i="1"/>
  <c r="DE149" i="1"/>
  <c r="DC160" i="1"/>
  <c r="DD160" i="1" s="1"/>
  <c r="DR160" i="1" s="1"/>
  <c r="DA160" i="1"/>
  <c r="DB160" i="1" s="1"/>
  <c r="DS160" i="1" s="1"/>
  <c r="DB183" i="1"/>
  <c r="DS183" i="1" s="1"/>
  <c r="DA223" i="1"/>
  <c r="DB223" i="1" s="1"/>
  <c r="DO223" i="1" s="1"/>
  <c r="DC223" i="1"/>
  <c r="DD223" i="1" s="1"/>
  <c r="DE231" i="1"/>
  <c r="DE239" i="1"/>
  <c r="DE247" i="1"/>
  <c r="DA247" i="1" s="1"/>
  <c r="DB247" i="1" s="1"/>
  <c r="DC271" i="1"/>
  <c r="DD271" i="1" s="1"/>
  <c r="DN271" i="1" s="1"/>
  <c r="DA271" i="1"/>
  <c r="DB271" i="1" s="1"/>
  <c r="DA304" i="1"/>
  <c r="DB304" i="1" s="1"/>
  <c r="DC304" i="1"/>
  <c r="DD304" i="1" s="1"/>
  <c r="DN304" i="1" s="1"/>
  <c r="DD176" i="1"/>
  <c r="DN176" i="1" s="1"/>
  <c r="DJ66" i="1"/>
  <c r="DJ149" i="1"/>
  <c r="CS194" i="1"/>
  <c r="DR21" i="1"/>
  <c r="DG46" i="1"/>
  <c r="DA89" i="1"/>
  <c r="DB89" i="1" s="1"/>
  <c r="DO89" i="1" s="1"/>
  <c r="DA260" i="1"/>
  <c r="DB260" i="1" s="1"/>
  <c r="DO260" i="1" s="1"/>
  <c r="DC260" i="1"/>
  <c r="DD260" i="1" s="1"/>
  <c r="DP260" i="1" s="1"/>
  <c r="DE276" i="1"/>
  <c r="DA276" i="1" s="1"/>
  <c r="DB276" i="1" s="1"/>
  <c r="DS276" i="1" s="1"/>
  <c r="DE284" i="1"/>
  <c r="DP173" i="1"/>
  <c r="DN173" i="1"/>
  <c r="DN297" i="1"/>
  <c r="DP297" i="1"/>
  <c r="DJ204" i="1"/>
  <c r="AD139" i="1"/>
  <c r="AF139" i="1" s="1"/>
  <c r="AD14" i="1"/>
  <c r="AF14" i="1" s="1"/>
  <c r="AD161" i="1"/>
  <c r="AF161" i="1" s="1"/>
  <c r="AD31" i="1"/>
  <c r="AF31" i="1" s="1"/>
  <c r="AD200" i="1"/>
  <c r="AF200" i="1" s="1"/>
  <c r="AD264" i="1"/>
  <c r="AF264" i="1" s="1"/>
  <c r="DC107" i="1"/>
  <c r="DD107" i="1" s="1"/>
  <c r="DA107" i="1"/>
  <c r="DB107" i="1" s="1"/>
  <c r="DS107" i="1" s="1"/>
  <c r="DC115" i="1"/>
  <c r="DD115" i="1" s="1"/>
  <c r="DP115" i="1" s="1"/>
  <c r="DA115" i="1"/>
  <c r="DB115" i="1" s="1"/>
  <c r="DC122" i="1"/>
  <c r="DD122" i="1" s="1"/>
  <c r="DP122" i="1" s="1"/>
  <c r="DA122" i="1"/>
  <c r="DB122" i="1" s="1"/>
  <c r="DS122" i="1" s="1"/>
  <c r="DC132" i="1"/>
  <c r="DD132" i="1" s="1"/>
  <c r="DQ132" i="1" s="1"/>
  <c r="DA132" i="1"/>
  <c r="DB132" i="1" s="1"/>
  <c r="DK132" i="1" s="1"/>
  <c r="DL132" i="1" s="1"/>
  <c r="DB143" i="1"/>
  <c r="DO143" i="1" s="1"/>
  <c r="DA152" i="1"/>
  <c r="DB152" i="1" s="1"/>
  <c r="DK152" i="1" s="1"/>
  <c r="DC152" i="1"/>
  <c r="DD152" i="1" s="1"/>
  <c r="DQ152" i="1" s="1"/>
  <c r="DE178" i="1"/>
  <c r="DC186" i="1"/>
  <c r="DD186" i="1" s="1"/>
  <c r="DQ186" i="1" s="1"/>
  <c r="DA186" i="1"/>
  <c r="DB186" i="1" s="1"/>
  <c r="DS186" i="1" s="1"/>
  <c r="DC242" i="1"/>
  <c r="DD242" i="1" s="1"/>
  <c r="DQ242" i="1" s="1"/>
  <c r="DA242" i="1"/>
  <c r="DB242" i="1" s="1"/>
  <c r="DK242" i="1" s="1"/>
  <c r="DL242" i="1" s="1"/>
  <c r="DC274" i="1"/>
  <c r="DD274" i="1" s="1"/>
  <c r="DN274" i="1" s="1"/>
  <c r="DA274" i="1"/>
  <c r="DB274" i="1" s="1"/>
  <c r="DS274" i="1" s="1"/>
  <c r="DA282" i="1"/>
  <c r="DB282" i="1" s="1"/>
  <c r="DS282" i="1" s="1"/>
  <c r="DC282" i="1"/>
  <c r="DD282" i="1" s="1"/>
  <c r="DQ282" i="1" s="1"/>
  <c r="DC291" i="1"/>
  <c r="DD291" i="1" s="1"/>
  <c r="DA291" i="1"/>
  <c r="DB291" i="1" s="1"/>
  <c r="DB299" i="1"/>
  <c r="DK299" i="1" s="1"/>
  <c r="DA307" i="1"/>
  <c r="DB307" i="1" s="1"/>
  <c r="DK307" i="1" s="1"/>
  <c r="DL307" i="1" s="1"/>
  <c r="DC307" i="1"/>
  <c r="DD307" i="1" s="1"/>
  <c r="DP307" i="1" s="1"/>
  <c r="DI81" i="1"/>
  <c r="DI21" i="1"/>
  <c r="DI36" i="1"/>
  <c r="DI46" i="1"/>
  <c r="DI58" i="1"/>
  <c r="DI67" i="1"/>
  <c r="DI75" i="1"/>
  <c r="DI85" i="1"/>
  <c r="DI93" i="1"/>
  <c r="DI99" i="1"/>
  <c r="DI109" i="1"/>
  <c r="DI117" i="1"/>
  <c r="DI125" i="1"/>
  <c r="DI135" i="1"/>
  <c r="DI146" i="1"/>
  <c r="DI157" i="1"/>
  <c r="DI165" i="1"/>
  <c r="DI173" i="1"/>
  <c r="DI180" i="1"/>
  <c r="DI188" i="1"/>
  <c r="DI196" i="1"/>
  <c r="DI204" i="1"/>
  <c r="DI212" i="1"/>
  <c r="DI220" i="1"/>
  <c r="DI228" i="1"/>
  <c r="DI236" i="1"/>
  <c r="DI244" i="1"/>
  <c r="DI252" i="1"/>
  <c r="DI260" i="1"/>
  <c r="DI268" i="1"/>
  <c r="DI276" i="1"/>
  <c r="DI284" i="1"/>
  <c r="DI293" i="1"/>
  <c r="DI301" i="1"/>
  <c r="DI309" i="1"/>
  <c r="DI316" i="1"/>
  <c r="DI324" i="1"/>
  <c r="DI332" i="1"/>
  <c r="DP18" i="1"/>
  <c r="DN18" i="1"/>
  <c r="DP25" i="1"/>
  <c r="DN25" i="1"/>
  <c r="DP72" i="1"/>
  <c r="DN72" i="1"/>
  <c r="DP106" i="1"/>
  <c r="DN106" i="1"/>
  <c r="DP121" i="1"/>
  <c r="DN121" i="1"/>
  <c r="DP185" i="1"/>
  <c r="DN185" i="1"/>
  <c r="DP225" i="1"/>
  <c r="DN225" i="1"/>
  <c r="DP290" i="1"/>
  <c r="DN290" i="1"/>
  <c r="DP321" i="1"/>
  <c r="DN321" i="1"/>
  <c r="DP333" i="1"/>
  <c r="DN333" i="1"/>
  <c r="DJ88" i="1"/>
  <c r="DJ142" i="1"/>
  <c r="DL142" i="1" s="1"/>
  <c r="DJ26" i="1"/>
  <c r="DL26" i="1" s="1"/>
  <c r="DJ30" i="1"/>
  <c r="DJ39" i="1"/>
  <c r="DJ136" i="1"/>
  <c r="DQ166" i="1"/>
  <c r="DJ173" i="1"/>
  <c r="DQ173" i="1"/>
  <c r="DG16" i="1"/>
  <c r="DG52" i="1"/>
  <c r="DG106" i="1"/>
  <c r="DC99" i="1"/>
  <c r="DD99" i="1" s="1"/>
  <c r="DN99" i="1" s="1"/>
  <c r="DA99" i="1"/>
  <c r="DB99" i="1" s="1"/>
  <c r="DS99" i="1" s="1"/>
  <c r="DE204" i="1"/>
  <c r="DA252" i="1"/>
  <c r="DB252" i="1" s="1"/>
  <c r="DC252" i="1"/>
  <c r="DD252" i="1" s="1"/>
  <c r="DP252" i="1" s="1"/>
  <c r="DC293" i="1"/>
  <c r="DD293" i="1" s="1"/>
  <c r="DN293" i="1" s="1"/>
  <c r="DA293" i="1"/>
  <c r="DB293" i="1" s="1"/>
  <c r="DS293" i="1" s="1"/>
  <c r="AD123" i="1"/>
  <c r="AF123" i="1" s="1"/>
  <c r="AD70" i="1"/>
  <c r="AF70" i="1" s="1"/>
  <c r="AD145" i="1"/>
  <c r="AF145" i="1" s="1"/>
  <c r="AD80" i="1"/>
  <c r="AF80" i="1" s="1"/>
  <c r="AD90" i="1"/>
  <c r="AF90" i="1" s="1"/>
  <c r="AD72" i="1"/>
  <c r="AF72" i="1" s="1"/>
  <c r="AD106" i="1"/>
  <c r="AF106" i="1" s="1"/>
  <c r="AD114" i="1"/>
  <c r="AF114" i="1" s="1"/>
  <c r="AD121" i="1"/>
  <c r="AF121" i="1" s="1"/>
  <c r="AD131" i="1"/>
  <c r="AF131" i="1" s="1"/>
  <c r="AD150" i="1"/>
  <c r="AF150" i="1" s="1"/>
  <c r="AD162" i="1"/>
  <c r="AF162" i="1" s="1"/>
  <c r="AD273" i="1"/>
  <c r="AF273" i="1" s="1"/>
  <c r="AD281" i="1"/>
  <c r="AF281" i="1" s="1"/>
  <c r="AD290" i="1"/>
  <c r="AF290" i="1" s="1"/>
  <c r="AD298" i="1"/>
  <c r="AF298" i="1" s="1"/>
  <c r="AD306" i="1"/>
  <c r="AF306" i="1" s="1"/>
  <c r="AD314" i="1"/>
  <c r="AF314" i="1" s="1"/>
  <c r="AD329" i="1"/>
  <c r="AF329" i="1" s="1"/>
  <c r="DA22" i="1"/>
  <c r="DB22" i="1" s="1"/>
  <c r="DC22" i="1"/>
  <c r="DD22" i="1" s="1"/>
  <c r="DA30" i="1"/>
  <c r="DB30" i="1" s="1"/>
  <c r="DK30" i="1" s="1"/>
  <c r="DC30" i="1"/>
  <c r="DD30" i="1" s="1"/>
  <c r="DQ30" i="1" s="1"/>
  <c r="DC37" i="1"/>
  <c r="DD37" i="1" s="1"/>
  <c r="DP37" i="1" s="1"/>
  <c r="DA37" i="1"/>
  <c r="DB37" i="1" s="1"/>
  <c r="DK37" i="1" s="1"/>
  <c r="DE47" i="1"/>
  <c r="DE59" i="1"/>
  <c r="DE68" i="1"/>
  <c r="DE76" i="1"/>
  <c r="DE8" i="1"/>
  <c r="DE95" i="1"/>
  <c r="DE12" i="1"/>
  <c r="DA147" i="1"/>
  <c r="DB147" i="1" s="1"/>
  <c r="DC147" i="1"/>
  <c r="DD147" i="1" s="1"/>
  <c r="DP147" i="1" s="1"/>
  <c r="DC166" i="1"/>
  <c r="DD166" i="1" s="1"/>
  <c r="DA166" i="1"/>
  <c r="DB166" i="1" s="1"/>
  <c r="DO166" i="1" s="1"/>
  <c r="DA174" i="1"/>
  <c r="DB174" i="1" s="1"/>
  <c r="DC174" i="1"/>
  <c r="DD174" i="1" s="1"/>
  <c r="DA181" i="1"/>
  <c r="DB181" i="1" s="1"/>
  <c r="DC181" i="1"/>
  <c r="DD181" i="1" s="1"/>
  <c r="DP181" i="1" s="1"/>
  <c r="DC189" i="1"/>
  <c r="DD189" i="1" s="1"/>
  <c r="DP189" i="1" s="1"/>
  <c r="DA189" i="1"/>
  <c r="DB189" i="1" s="1"/>
  <c r="DS189" i="1" s="1"/>
  <c r="DE197" i="1"/>
  <c r="DE205" i="1"/>
  <c r="DE213" i="1"/>
  <c r="DE253" i="1"/>
  <c r="DC261" i="1"/>
  <c r="DD261" i="1" s="1"/>
  <c r="DQ261" i="1" s="1"/>
  <c r="DA261" i="1"/>
  <c r="DB261" i="1" s="1"/>
  <c r="DC269" i="1"/>
  <c r="DA269" i="1"/>
  <c r="DB269" i="1" s="1"/>
  <c r="DO269" i="1" s="1"/>
  <c r="DE285" i="1"/>
  <c r="DC302" i="1"/>
  <c r="DD302" i="1" s="1"/>
  <c r="DA310" i="1"/>
  <c r="DB310" i="1" s="1"/>
  <c r="DS310" i="1" s="1"/>
  <c r="DC310" i="1"/>
  <c r="DD310" i="1" s="1"/>
  <c r="DN310" i="1" s="1"/>
  <c r="DC317" i="1"/>
  <c r="DD317" i="1" s="1"/>
  <c r="DQ317" i="1" s="1"/>
  <c r="DA317" i="1"/>
  <c r="DB317" i="1" s="1"/>
  <c r="DK317" i="1" s="1"/>
  <c r="DC325" i="1"/>
  <c r="DD325" i="1" s="1"/>
  <c r="DQ325" i="1" s="1"/>
  <c r="DA325" i="1"/>
  <c r="DB325" i="1" s="1"/>
  <c r="DK325" i="1" s="1"/>
  <c r="DC333" i="1"/>
  <c r="DD333" i="1" s="1"/>
  <c r="DA333" i="1"/>
  <c r="DB333" i="1" s="1"/>
  <c r="DS333" i="1" s="1"/>
  <c r="DI16" i="1"/>
  <c r="DI23" i="1"/>
  <c r="DI39" i="1"/>
  <c r="DI62" i="1"/>
  <c r="DI70" i="1"/>
  <c r="DI78" i="1"/>
  <c r="DI87" i="1"/>
  <c r="DI145" i="1"/>
  <c r="DI103" i="1"/>
  <c r="DI112" i="1"/>
  <c r="DD118" i="1"/>
  <c r="DQ118" i="1" s="1"/>
  <c r="DI119" i="1"/>
  <c r="DD126" i="1"/>
  <c r="DI13" i="1"/>
  <c r="DI138" i="1"/>
  <c r="DI149" i="1"/>
  <c r="DI160" i="1"/>
  <c r="DI168" i="1"/>
  <c r="DI176" i="1"/>
  <c r="DI183" i="1"/>
  <c r="DI191" i="1"/>
  <c r="DI199" i="1"/>
  <c r="DI207" i="1"/>
  <c r="DI215" i="1"/>
  <c r="DI223" i="1"/>
  <c r="DI231" i="1"/>
  <c r="DD237" i="1"/>
  <c r="DR237" i="1" s="1"/>
  <c r="DJ36" i="1"/>
  <c r="DJ6" i="1"/>
  <c r="DJ52" i="1"/>
  <c r="DJ70" i="1"/>
  <c r="DL70" i="1" s="1"/>
  <c r="DJ77" i="1"/>
  <c r="DJ8" i="1"/>
  <c r="CS90" i="1"/>
  <c r="DR90" i="1"/>
  <c r="DJ101" i="1"/>
  <c r="DJ110" i="1"/>
  <c r="DJ117" i="1"/>
  <c r="DJ202" i="1"/>
  <c r="DJ263" i="1"/>
  <c r="DG18" i="1"/>
  <c r="DA17" i="1"/>
  <c r="DB17" i="1" s="1"/>
  <c r="DS17" i="1" s="1"/>
  <c r="DC24" i="1"/>
  <c r="DD24" i="1" s="1"/>
  <c r="DN24" i="1" s="1"/>
  <c r="DA24" i="1"/>
  <c r="DB24" i="1" s="1"/>
  <c r="DO24" i="1" s="1"/>
  <c r="DA32" i="1"/>
  <c r="DB32" i="1" s="1"/>
  <c r="DK32" i="1" s="1"/>
  <c r="DC32" i="1"/>
  <c r="DD32" i="1" s="1"/>
  <c r="DQ32" i="1" s="1"/>
  <c r="DE40" i="1"/>
  <c r="DC50" i="1"/>
  <c r="DD50" i="1" s="1"/>
  <c r="DP50" i="1" s="1"/>
  <c r="DA50" i="1"/>
  <c r="DB50" i="1" s="1"/>
  <c r="DC63" i="1"/>
  <c r="DD63" i="1" s="1"/>
  <c r="DP63" i="1" s="1"/>
  <c r="DA63" i="1"/>
  <c r="DB63" i="1" s="1"/>
  <c r="DO63" i="1" s="1"/>
  <c r="DC71" i="1"/>
  <c r="DD71" i="1" s="1"/>
  <c r="DA71" i="1"/>
  <c r="DB71" i="1" s="1"/>
  <c r="DS71" i="1" s="1"/>
  <c r="DE79" i="1"/>
  <c r="DN89" i="1"/>
  <c r="DE96" i="1"/>
  <c r="DC104" i="1"/>
  <c r="DD104" i="1" s="1"/>
  <c r="DN104" i="1" s="1"/>
  <c r="DA104" i="1"/>
  <c r="DB104" i="1" s="1"/>
  <c r="DK104" i="1" s="1"/>
  <c r="DL104" i="1" s="1"/>
  <c r="DE113" i="1"/>
  <c r="DC120" i="1"/>
  <c r="DD120" i="1" s="1"/>
  <c r="DN120" i="1" s="1"/>
  <c r="DA120" i="1"/>
  <c r="DB120" i="1" s="1"/>
  <c r="DO120" i="1" s="1"/>
  <c r="DA139" i="1"/>
  <c r="DB139" i="1" s="1"/>
  <c r="DC139" i="1"/>
  <c r="DD139" i="1" s="1"/>
  <c r="DN139" i="1" s="1"/>
  <c r="DE161" i="1"/>
  <c r="DE192" i="1"/>
  <c r="DC200" i="1"/>
  <c r="DD200" i="1" s="1"/>
  <c r="DN200" i="1" s="1"/>
  <c r="DA200" i="1"/>
  <c r="DB200" i="1" s="1"/>
  <c r="DK200" i="1" s="1"/>
  <c r="DE208" i="1"/>
  <c r="DC216" i="1"/>
  <c r="DD216" i="1" s="1"/>
  <c r="DP216" i="1" s="1"/>
  <c r="DA216" i="1"/>
  <c r="DB216" i="1" s="1"/>
  <c r="DE232" i="1"/>
  <c r="DC240" i="1"/>
  <c r="DD240" i="1" s="1"/>
  <c r="DA240" i="1"/>
  <c r="DB240" i="1" s="1"/>
  <c r="DO240" i="1" s="1"/>
  <c r="DA248" i="1"/>
  <c r="DB248" i="1" s="1"/>
  <c r="DS248" i="1" s="1"/>
  <c r="DC248" i="1"/>
  <c r="DD248" i="1" s="1"/>
  <c r="DP248" i="1" s="1"/>
  <c r="DC256" i="1"/>
  <c r="DD256" i="1" s="1"/>
  <c r="DN256" i="1" s="1"/>
  <c r="DA256" i="1"/>
  <c r="DB256" i="1" s="1"/>
  <c r="DS256" i="1" s="1"/>
  <c r="DA264" i="1"/>
  <c r="DB264" i="1" s="1"/>
  <c r="DS264" i="1" s="1"/>
  <c r="DC264" i="1"/>
  <c r="DD264" i="1" s="1"/>
  <c r="DE272" i="1"/>
  <c r="DA289" i="1"/>
  <c r="DB289" i="1" s="1"/>
  <c r="DK289" i="1" s="1"/>
  <c r="DL289" i="1" s="1"/>
  <c r="DC289" i="1"/>
  <c r="DD289" i="1" s="1"/>
  <c r="DA297" i="1"/>
  <c r="DB297" i="1" s="1"/>
  <c r="DC297" i="1"/>
  <c r="DD297" i="1" s="1"/>
  <c r="DQ297" i="1" s="1"/>
  <c r="DC305" i="1"/>
  <c r="DD305" i="1" s="1"/>
  <c r="DA305" i="1"/>
  <c r="DB305" i="1" s="1"/>
  <c r="DS305" i="1" s="1"/>
  <c r="DC313" i="1"/>
  <c r="DD313" i="1" s="1"/>
  <c r="DQ313" i="1" s="1"/>
  <c r="DA313" i="1"/>
  <c r="DB313" i="1" s="1"/>
  <c r="DC320" i="1"/>
  <c r="DD320" i="1" s="1"/>
  <c r="DQ320" i="1" s="1"/>
  <c r="DA320" i="1"/>
  <c r="DB320" i="1" s="1"/>
  <c r="DD224" i="1"/>
  <c r="DP224" i="1" s="1"/>
  <c r="DJ18" i="1"/>
  <c r="DL18" i="1" s="1"/>
  <c r="DJ40" i="1"/>
  <c r="DL40" i="1" s="1"/>
  <c r="DJ59" i="1"/>
  <c r="DJ13" i="1"/>
  <c r="CS157" i="1"/>
  <c r="DJ249" i="1"/>
  <c r="DG91" i="1"/>
  <c r="DR135" i="1"/>
  <c r="DC21" i="1"/>
  <c r="DD21" i="1" s="1"/>
  <c r="DA21" i="1"/>
  <c r="DB21" i="1" s="1"/>
  <c r="DS21" i="1" s="1"/>
  <c r="DE67" i="1"/>
  <c r="DE93" i="1"/>
  <c r="DC228" i="1"/>
  <c r="DD228" i="1" s="1"/>
  <c r="DP228" i="1" s="1"/>
  <c r="DA228" i="1"/>
  <c r="DB228" i="1" s="1"/>
  <c r="DC7" i="1"/>
  <c r="DD7" i="1" s="1"/>
  <c r="DQ7" i="1" s="1"/>
  <c r="DA7" i="1"/>
  <c r="DB7" i="1" s="1"/>
  <c r="DK7" i="1" s="1"/>
  <c r="DA20" i="1"/>
  <c r="DB20" i="1" s="1"/>
  <c r="DS20" i="1" s="1"/>
  <c r="DA27" i="1"/>
  <c r="DB27" i="1" s="1"/>
  <c r="DK27" i="1" s="1"/>
  <c r="DC35" i="1"/>
  <c r="DD35" i="1" s="1"/>
  <c r="DA35" i="1"/>
  <c r="DB35" i="1" s="1"/>
  <c r="DA44" i="1"/>
  <c r="DB44" i="1" s="1"/>
  <c r="DS44" i="1" s="1"/>
  <c r="DC44" i="1"/>
  <c r="DD44" i="1" s="1"/>
  <c r="DA54" i="1"/>
  <c r="DB54" i="1" s="1"/>
  <c r="DC54" i="1"/>
  <c r="DD54" i="1" s="1"/>
  <c r="DA66" i="1"/>
  <c r="DB66" i="1" s="1"/>
  <c r="DS66" i="1" s="1"/>
  <c r="DC66" i="1"/>
  <c r="DD66" i="1" s="1"/>
  <c r="DA9" i="1"/>
  <c r="DB9" i="1" s="1"/>
  <c r="DS9" i="1" s="1"/>
  <c r="DC9" i="1"/>
  <c r="DD9" i="1" s="1"/>
  <c r="DA84" i="1"/>
  <c r="DB84" i="1" s="1"/>
  <c r="DS84" i="1" s="1"/>
  <c r="DC84" i="1"/>
  <c r="DD84" i="1" s="1"/>
  <c r="DR84" i="1" s="1"/>
  <c r="DA92" i="1"/>
  <c r="DB92" i="1" s="1"/>
  <c r="DC92" i="1"/>
  <c r="DD92" i="1" s="1"/>
  <c r="DA98" i="1"/>
  <c r="DB98" i="1" s="1"/>
  <c r="DS98" i="1" s="1"/>
  <c r="DC98" i="1"/>
  <c r="DD98" i="1" s="1"/>
  <c r="DQ98" i="1" s="1"/>
  <c r="DA108" i="1"/>
  <c r="DB108" i="1" s="1"/>
  <c r="DS108" i="1" s="1"/>
  <c r="DC108" i="1"/>
  <c r="DD108" i="1" s="1"/>
  <c r="DC116" i="1"/>
  <c r="DD116" i="1" s="1"/>
  <c r="DQ116" i="1" s="1"/>
  <c r="DA116" i="1"/>
  <c r="DB116" i="1" s="1"/>
  <c r="DS116" i="1" s="1"/>
  <c r="DC134" i="1"/>
  <c r="DD134" i="1" s="1"/>
  <c r="DQ134" i="1" s="1"/>
  <c r="DA134" i="1"/>
  <c r="DB134" i="1" s="1"/>
  <c r="DE144" i="1"/>
  <c r="DC156" i="1"/>
  <c r="DD156" i="1" s="1"/>
  <c r="DP156" i="1" s="1"/>
  <c r="DA156" i="1"/>
  <c r="DB156" i="1" s="1"/>
  <c r="DS156" i="1" s="1"/>
  <c r="DE219" i="1"/>
  <c r="DE227" i="1"/>
  <c r="DC235" i="1"/>
  <c r="DD235" i="1" s="1"/>
  <c r="DN235" i="1" s="1"/>
  <c r="DA235" i="1"/>
  <c r="DB235" i="1" s="1"/>
  <c r="DS235" i="1" s="1"/>
  <c r="DE243" i="1"/>
  <c r="DA267" i="1"/>
  <c r="DB267" i="1" s="1"/>
  <c r="DC267" i="1"/>
  <c r="DD267" i="1" s="1"/>
  <c r="DC283" i="1"/>
  <c r="DD283" i="1" s="1"/>
  <c r="DA283" i="1"/>
  <c r="DB283" i="1" s="1"/>
  <c r="DK283" i="1" s="1"/>
  <c r="DL283" i="1" s="1"/>
  <c r="DC292" i="1"/>
  <c r="DD292" i="1" s="1"/>
  <c r="DA292" i="1"/>
  <c r="DB292" i="1" s="1"/>
  <c r="DC300" i="1"/>
  <c r="DD300" i="1" s="1"/>
  <c r="DA300" i="1"/>
  <c r="DB300" i="1" s="1"/>
  <c r="DO300" i="1" s="1"/>
  <c r="DC308" i="1"/>
  <c r="DD308" i="1" s="1"/>
  <c r="DA308" i="1"/>
  <c r="DB308" i="1" s="1"/>
  <c r="DS308" i="1" s="1"/>
  <c r="DC331" i="1"/>
  <c r="DD331" i="1" s="1"/>
  <c r="DD27" i="1"/>
  <c r="DN27" i="1" s="1"/>
  <c r="CS15" i="1"/>
  <c r="DR15" i="1"/>
  <c r="DJ21" i="1"/>
  <c r="DJ27" i="1"/>
  <c r="DJ83" i="1"/>
  <c r="CS41" i="1"/>
  <c r="DR41" i="1"/>
  <c r="DJ123" i="1"/>
  <c r="DQ147" i="1"/>
  <c r="DJ164" i="1"/>
  <c r="DJ239" i="1"/>
  <c r="DJ317" i="1"/>
  <c r="DJ324" i="1"/>
  <c r="DC20" i="1"/>
  <c r="DD20" i="1" s="1"/>
  <c r="DP20" i="1" s="1"/>
  <c r="DG40" i="1"/>
  <c r="DG201" i="1"/>
  <c r="DC28" i="1"/>
  <c r="DD28" i="1" s="1"/>
  <c r="DP28" i="1" s="1"/>
  <c r="DA28" i="1"/>
  <c r="DB28" i="1" s="1"/>
  <c r="DS28" i="1" s="1"/>
  <c r="DC244" i="1"/>
  <c r="DD244" i="1" s="1"/>
  <c r="DP244" i="1" s="1"/>
  <c r="DA244" i="1"/>
  <c r="DB244" i="1" s="1"/>
  <c r="DK244" i="1" s="1"/>
  <c r="DL244" i="1" s="1"/>
  <c r="DC38" i="1"/>
  <c r="DD38" i="1" s="1"/>
  <c r="DN38" i="1" s="1"/>
  <c r="DA38" i="1"/>
  <c r="DB38" i="1" s="1"/>
  <c r="DS38" i="1" s="1"/>
  <c r="DC127" i="1"/>
  <c r="DD127" i="1" s="1"/>
  <c r="DN127" i="1" s="1"/>
  <c r="DA127" i="1"/>
  <c r="DB127" i="1" s="1"/>
  <c r="DS127" i="1" s="1"/>
  <c r="DC167" i="1"/>
  <c r="DD167" i="1" s="1"/>
  <c r="DR167" i="1" s="1"/>
  <c r="DA167" i="1"/>
  <c r="DB167" i="1" s="1"/>
  <c r="DC175" i="1"/>
  <c r="DD175" i="1" s="1"/>
  <c r="DN175" i="1" s="1"/>
  <c r="DA175" i="1"/>
  <c r="DB175" i="1" s="1"/>
  <c r="DS175" i="1" s="1"/>
  <c r="DC182" i="1"/>
  <c r="DD182" i="1" s="1"/>
  <c r="DP182" i="1" s="1"/>
  <c r="DA182" i="1"/>
  <c r="DB182" i="1" s="1"/>
  <c r="DE190" i="1"/>
  <c r="DC222" i="1"/>
  <c r="DD222" i="1" s="1"/>
  <c r="DA222" i="1"/>
  <c r="DB222" i="1" s="1"/>
  <c r="DC230" i="1"/>
  <c r="DD230" i="1" s="1"/>
  <c r="DN230" i="1" s="1"/>
  <c r="DA230" i="1"/>
  <c r="DB230" i="1" s="1"/>
  <c r="DO230" i="1" s="1"/>
  <c r="DB238" i="1"/>
  <c r="DS238" i="1" s="1"/>
  <c r="DE295" i="1"/>
  <c r="DE311" i="1"/>
  <c r="DI17" i="1"/>
  <c r="DI24" i="1"/>
  <c r="DI40" i="1"/>
  <c r="DI50" i="1"/>
  <c r="DI63" i="1"/>
  <c r="DI71" i="1"/>
  <c r="DI79" i="1"/>
  <c r="DI89" i="1"/>
  <c r="DI96" i="1"/>
  <c r="DI104" i="1"/>
  <c r="DI113" i="1"/>
  <c r="DI120" i="1"/>
  <c r="DI129" i="1"/>
  <c r="DI139" i="1"/>
  <c r="DI14" i="1"/>
  <c r="DI161" i="1"/>
  <c r="DI169" i="1"/>
  <c r="DI31" i="1"/>
  <c r="DI184" i="1"/>
  <c r="DI192" i="1"/>
  <c r="DI200" i="1"/>
  <c r="DI208" i="1"/>
  <c r="DI216" i="1"/>
  <c r="DI224" i="1"/>
  <c r="DI232" i="1"/>
  <c r="DI240" i="1"/>
  <c r="DI248" i="1"/>
  <c r="DI256" i="1"/>
  <c r="DI264" i="1"/>
  <c r="DI272" i="1"/>
  <c r="DI280" i="1"/>
  <c r="DI289" i="1"/>
  <c r="DN70" i="1"/>
  <c r="DP70" i="1"/>
  <c r="DP84" i="1"/>
  <c r="DN84" i="1"/>
  <c r="DP183" i="1"/>
  <c r="DN183" i="1"/>
  <c r="DN211" i="1"/>
  <c r="DP211" i="1"/>
  <c r="DP267" i="1"/>
  <c r="DN267" i="1"/>
  <c r="DP287" i="1"/>
  <c r="DN287" i="1"/>
  <c r="DP292" i="1"/>
  <c r="DN292" i="1"/>
  <c r="DJ37" i="1"/>
  <c r="DJ60" i="1"/>
  <c r="DL60" i="1" s="1"/>
  <c r="DJ65" i="1"/>
  <c r="DL65" i="1" s="1"/>
  <c r="DJ68" i="1"/>
  <c r="CS75" i="1"/>
  <c r="DR75" i="1"/>
  <c r="DJ95" i="1"/>
  <c r="DJ99" i="1"/>
  <c r="DJ121" i="1"/>
  <c r="DL121" i="1" s="1"/>
  <c r="CS225" i="1"/>
  <c r="DJ232" i="1"/>
  <c r="DG43" i="1"/>
  <c r="DC17" i="1"/>
  <c r="DD17" i="1" s="1"/>
  <c r="DN17" i="1" s="1"/>
  <c r="DC117" i="1"/>
  <c r="DD117" i="1" s="1"/>
  <c r="DQ117" i="1" s="1"/>
  <c r="DA117" i="1"/>
  <c r="DB117" i="1" s="1"/>
  <c r="DE212" i="1"/>
  <c r="AD75" i="1"/>
  <c r="AF75" i="1" s="1"/>
  <c r="AD117" i="1"/>
  <c r="AF117" i="1" s="1"/>
  <c r="AD146" i="1"/>
  <c r="AF146" i="1" s="1"/>
  <c r="AD165" i="1"/>
  <c r="AF165" i="1" s="1"/>
  <c r="AD173" i="1"/>
  <c r="AF173" i="1" s="1"/>
  <c r="AD181" i="1"/>
  <c r="AF181" i="1" s="1"/>
  <c r="AD205" i="1"/>
  <c r="AF205" i="1" s="1"/>
  <c r="AD221" i="1"/>
  <c r="AF221" i="1" s="1"/>
  <c r="AD245" i="1"/>
  <c r="AF245" i="1" s="1"/>
  <c r="AD302" i="1"/>
  <c r="AF302" i="1" s="1"/>
  <c r="DA43" i="1"/>
  <c r="DB43" i="1" s="1"/>
  <c r="DC43" i="1"/>
  <c r="DD43" i="1" s="1"/>
  <c r="DQ43" i="1" s="1"/>
  <c r="DA18" i="1"/>
  <c r="DB18" i="1" s="1"/>
  <c r="DS18" i="1" s="1"/>
  <c r="DC18" i="1"/>
  <c r="DD18" i="1" s="1"/>
  <c r="DQ18" i="1" s="1"/>
  <c r="DA25" i="1"/>
  <c r="DB25" i="1" s="1"/>
  <c r="DC25" i="1"/>
  <c r="DD25" i="1" s="1"/>
  <c r="DQ25" i="1" s="1"/>
  <c r="DA33" i="1"/>
  <c r="DB33" i="1" s="1"/>
  <c r="DS33" i="1" s="1"/>
  <c r="DC33" i="1"/>
  <c r="DD33" i="1" s="1"/>
  <c r="DN33" i="1" s="1"/>
  <c r="DA41" i="1"/>
  <c r="DB41" i="1" s="1"/>
  <c r="DC41" i="1"/>
  <c r="DD41" i="1" s="1"/>
  <c r="DQ41" i="1" s="1"/>
  <c r="DE51" i="1"/>
  <c r="DE48" i="1"/>
  <c r="DE73" i="1"/>
  <c r="DA80" i="1"/>
  <c r="DB80" i="1" s="1"/>
  <c r="DO80" i="1" s="1"/>
  <c r="DC80" i="1"/>
  <c r="DD80" i="1" s="1"/>
  <c r="DP80" i="1" s="1"/>
  <c r="DE72" i="1"/>
  <c r="DC150" i="1"/>
  <c r="DD150" i="1" s="1"/>
  <c r="DN150" i="1" s="1"/>
  <c r="DA150" i="1"/>
  <c r="DB150" i="1" s="1"/>
  <c r="DS150" i="1" s="1"/>
  <c r="DC170" i="1"/>
  <c r="DD170" i="1" s="1"/>
  <c r="DN170" i="1" s="1"/>
  <c r="DA170" i="1"/>
  <c r="DB170" i="1" s="1"/>
  <c r="DK170" i="1" s="1"/>
  <c r="DL170" i="1" s="1"/>
  <c r="DA177" i="1"/>
  <c r="DB177" i="1" s="1"/>
  <c r="DS177" i="1" s="1"/>
  <c r="DC177" i="1"/>
  <c r="DD177" i="1" s="1"/>
  <c r="DC185" i="1"/>
  <c r="DD185" i="1" s="1"/>
  <c r="DQ185" i="1" s="1"/>
  <c r="DA185" i="1"/>
  <c r="DB185" i="1" s="1"/>
  <c r="DS185" i="1" s="1"/>
  <c r="DC201" i="1"/>
  <c r="DD201" i="1" s="1"/>
  <c r="DN201" i="1" s="1"/>
  <c r="DA201" i="1"/>
  <c r="DB201" i="1" s="1"/>
  <c r="DS201" i="1" s="1"/>
  <c r="DE209" i="1"/>
  <c r="DE225" i="1"/>
  <c r="DB249" i="1"/>
  <c r="DK249" i="1" s="1"/>
  <c r="DL249" i="1" s="1"/>
  <c r="DE257" i="1"/>
  <c r="DE265" i="1"/>
  <c r="DE273" i="1"/>
  <c r="DB281" i="1"/>
  <c r="DS281" i="1" s="1"/>
  <c r="DC290" i="1"/>
  <c r="DD290" i="1" s="1"/>
  <c r="DQ290" i="1" s="1"/>
  <c r="DA290" i="1"/>
  <c r="DB290" i="1" s="1"/>
  <c r="DC314" i="1"/>
  <c r="DD314" i="1" s="1"/>
  <c r="DN314" i="1" s="1"/>
  <c r="DA314" i="1"/>
  <c r="DB314" i="1" s="1"/>
  <c r="DC321" i="1"/>
  <c r="DD321" i="1" s="1"/>
  <c r="DQ321" i="1" s="1"/>
  <c r="DA321" i="1"/>
  <c r="DB321" i="1" s="1"/>
  <c r="DS321" i="1" s="1"/>
  <c r="DC329" i="1"/>
  <c r="DD329" i="1" s="1"/>
  <c r="DP329" i="1" s="1"/>
  <c r="DA329" i="1"/>
  <c r="DB329" i="1" s="1"/>
  <c r="DO329" i="1" s="1"/>
  <c r="DI7" i="1"/>
  <c r="DI20" i="1"/>
  <c r="DI27" i="1"/>
  <c r="DI35" i="1"/>
  <c r="DI44" i="1"/>
  <c r="DI54" i="1"/>
  <c r="DI66" i="1"/>
  <c r="DI9" i="1"/>
  <c r="DI84" i="1"/>
  <c r="DI92" i="1"/>
  <c r="DI98" i="1"/>
  <c r="DI116" i="1"/>
  <c r="DI124" i="1"/>
  <c r="DI134" i="1"/>
  <c r="DI144" i="1"/>
  <c r="DI156" i="1"/>
  <c r="DI164" i="1"/>
  <c r="DI172" i="1"/>
  <c r="DI179" i="1"/>
  <c r="DI187" i="1"/>
  <c r="DI195" i="1"/>
  <c r="DI203" i="1"/>
  <c r="DI211" i="1"/>
  <c r="DI219" i="1"/>
  <c r="DI227" i="1"/>
  <c r="DI235" i="1"/>
  <c r="DI243" i="1"/>
  <c r="DI251" i="1"/>
  <c r="DI259" i="1"/>
  <c r="DI267" i="1"/>
  <c r="DI275" i="1"/>
  <c r="DI283" i="1"/>
  <c r="DI292" i="1"/>
  <c r="DI300" i="1"/>
  <c r="DI308" i="1"/>
  <c r="DJ81" i="1"/>
  <c r="DJ16" i="1"/>
  <c r="DJ19" i="1"/>
  <c r="DJ158" i="1"/>
  <c r="CS165" i="1"/>
  <c r="DJ178" i="1"/>
  <c r="DJ211" i="1"/>
  <c r="DL211" i="1" s="1"/>
  <c r="DJ308" i="1"/>
  <c r="DJ140" i="1"/>
  <c r="DG15" i="1"/>
  <c r="DG62" i="1"/>
  <c r="DG77" i="1"/>
  <c r="DI239" i="1"/>
  <c r="DI247" i="1"/>
  <c r="DI255" i="1"/>
  <c r="DI263" i="1"/>
  <c r="DD269" i="1"/>
  <c r="DP269" i="1" s="1"/>
  <c r="DI271" i="1"/>
  <c r="DI279" i="1"/>
  <c r="DI287" i="1"/>
  <c r="DI296" i="1"/>
  <c r="DI304" i="1"/>
  <c r="DI312" i="1"/>
  <c r="DI319" i="1"/>
  <c r="DI327" i="1"/>
  <c r="DJ17" i="1"/>
  <c r="DJ41" i="1"/>
  <c r="DJ46" i="1"/>
  <c r="DJ48" i="1"/>
  <c r="DJ67" i="1"/>
  <c r="DJ85" i="1"/>
  <c r="DJ87" i="1"/>
  <c r="DJ103" i="1"/>
  <c r="DJ114" i="1"/>
  <c r="DJ131" i="1"/>
  <c r="DJ138" i="1"/>
  <c r="DJ150" i="1"/>
  <c r="DJ160" i="1"/>
  <c r="DJ31" i="1"/>
  <c r="DL31" i="1" s="1"/>
  <c r="DJ183" i="1"/>
  <c r="DL183" i="1" s="1"/>
  <c r="DJ187" i="1"/>
  <c r="DJ225" i="1"/>
  <c r="DL225" i="1" s="1"/>
  <c r="DJ236" i="1"/>
  <c r="DL236" i="1" s="1"/>
  <c r="CS253" i="1"/>
  <c r="DR253" i="1"/>
  <c r="DQ260" i="1"/>
  <c r="DJ267" i="1"/>
  <c r="DL267" i="1" s="1"/>
  <c r="DJ284" i="1"/>
  <c r="DJ295" i="1"/>
  <c r="DJ312" i="1"/>
  <c r="DJ321" i="1"/>
  <c r="DL321" i="1" s="1"/>
  <c r="DG81" i="1"/>
  <c r="DG88" i="1"/>
  <c r="DN65" i="1"/>
  <c r="DG70" i="1"/>
  <c r="DG89" i="1"/>
  <c r="DG90" i="1"/>
  <c r="DJ108" i="1"/>
  <c r="DG112" i="1"/>
  <c r="DG115" i="1"/>
  <c r="DR120" i="1"/>
  <c r="DG124" i="1"/>
  <c r="DR143" i="1"/>
  <c r="DI299" i="1"/>
  <c r="DI307" i="1"/>
  <c r="DI140" i="1"/>
  <c r="DI322" i="1"/>
  <c r="DI330" i="1"/>
  <c r="DN60" i="1"/>
  <c r="DP60" i="1"/>
  <c r="DP186" i="1"/>
  <c r="DN186" i="1"/>
  <c r="DP226" i="1"/>
  <c r="DN226" i="1"/>
  <c r="DP230" i="1"/>
  <c r="DP234" i="1"/>
  <c r="DP282" i="1"/>
  <c r="DN282" i="1"/>
  <c r="DK291" i="1"/>
  <c r="DP334" i="1"/>
  <c r="DN334" i="1"/>
  <c r="DJ9" i="1"/>
  <c r="DJ124" i="1"/>
  <c r="CS139" i="1"/>
  <c r="DR139" i="1"/>
  <c r="DJ167" i="1"/>
  <c r="DJ205" i="1"/>
  <c r="CS209" i="1"/>
  <c r="DR209" i="1"/>
  <c r="DQ212" i="1"/>
  <c r="DJ219" i="1"/>
  <c r="DJ222" i="1"/>
  <c r="DJ229" i="1"/>
  <c r="DJ264" i="1"/>
  <c r="DL264" i="1" s="1"/>
  <c r="DQ271" i="1"/>
  <c r="DQ289" i="1"/>
  <c r="DJ292" i="1"/>
  <c r="DL292" i="1" s="1"/>
  <c r="DJ299" i="1"/>
  <c r="DJ309" i="1"/>
  <c r="DG17" i="1"/>
  <c r="DG142" i="1"/>
  <c r="DR24" i="1"/>
  <c r="DR36" i="1"/>
  <c r="DG38" i="1"/>
  <c r="DG6" i="1"/>
  <c r="DG71" i="1"/>
  <c r="DR11" i="1"/>
  <c r="DG138" i="1"/>
  <c r="DJ144" i="1"/>
  <c r="DG244" i="1"/>
  <c r="DJ32" i="1"/>
  <c r="DJ71" i="1"/>
  <c r="DJ82" i="1"/>
  <c r="DQ89" i="1"/>
  <c r="DJ89" i="1"/>
  <c r="DJ97" i="1"/>
  <c r="DJ115" i="1"/>
  <c r="DJ127" i="1"/>
  <c r="DJ148" i="1"/>
  <c r="DJ152" i="1"/>
  <c r="DJ161" i="1"/>
  <c r="DJ177" i="1"/>
  <c r="DJ209" i="1"/>
  <c r="DJ226" i="1"/>
  <c r="DL226" i="1" s="1"/>
  <c r="DJ296" i="1"/>
  <c r="CS299" i="1"/>
  <c r="DR299" i="1"/>
  <c r="DG22" i="1"/>
  <c r="DR25" i="1"/>
  <c r="DG83" i="1"/>
  <c r="DG79" i="1"/>
  <c r="DG80" i="1"/>
  <c r="DG87" i="1"/>
  <c r="DR117" i="1"/>
  <c r="DG118" i="1"/>
  <c r="DR129" i="1"/>
  <c r="DJ175" i="1"/>
  <c r="DJ199" i="1"/>
  <c r="DJ220" i="1"/>
  <c r="DL220" i="1" s="1"/>
  <c r="DJ237" i="1"/>
  <c r="DJ247" i="1"/>
  <c r="DJ261" i="1"/>
  <c r="DJ272" i="1"/>
  <c r="DQ293" i="1"/>
  <c r="DJ319" i="1"/>
  <c r="DG34" i="1"/>
  <c r="DR59" i="1"/>
  <c r="DR65" i="1"/>
  <c r="DG69" i="1"/>
  <c r="DR114" i="1"/>
  <c r="DG175" i="1"/>
  <c r="DQ23" i="1"/>
  <c r="DJ58" i="1"/>
  <c r="DJ78" i="1"/>
  <c r="CS12" i="1"/>
  <c r="DJ106" i="1"/>
  <c r="DL106" i="1" s="1"/>
  <c r="DJ109" i="1"/>
  <c r="DL109" i="1" s="1"/>
  <c r="DJ112" i="1"/>
  <c r="DJ141" i="1"/>
  <c r="DJ185" i="1"/>
  <c r="DL185" i="1" s="1"/>
  <c r="DJ241" i="1"/>
  <c r="DJ282" i="1"/>
  <c r="DL282" i="1" s="1"/>
  <c r="DJ297" i="1"/>
  <c r="DL297" i="1" s="1"/>
  <c r="DJ310" i="1"/>
  <c r="DJ326" i="1"/>
  <c r="DJ20" i="1"/>
  <c r="DP26" i="1"/>
  <c r="DG35" i="1"/>
  <c r="DG50" i="1"/>
  <c r="DR54" i="1"/>
  <c r="DR63" i="1"/>
  <c r="DG78" i="1"/>
  <c r="DR92" i="1"/>
  <c r="DG11" i="1"/>
  <c r="DR107" i="1"/>
  <c r="DG109" i="1"/>
  <c r="DG114" i="1"/>
  <c r="DG134" i="1"/>
  <c r="DR141" i="1"/>
  <c r="DG195" i="1"/>
  <c r="DJ84" i="1"/>
  <c r="DL84" i="1" s="1"/>
  <c r="DJ98" i="1"/>
  <c r="DL98" i="1" s="1"/>
  <c r="DJ116" i="1"/>
  <c r="DJ134" i="1"/>
  <c r="DJ169" i="1"/>
  <c r="DJ172" i="1"/>
  <c r="DJ182" i="1"/>
  <c r="DJ200" i="1"/>
  <c r="DJ217" i="1"/>
  <c r="CS224" i="1"/>
  <c r="DQ231" i="1"/>
  <c r="DJ320" i="1"/>
  <c r="DL320" i="1" s="1"/>
  <c r="DJ330" i="1"/>
  <c r="DR18" i="1"/>
  <c r="DR20" i="1"/>
  <c r="DN142" i="1"/>
  <c r="DG24" i="1"/>
  <c r="DR26" i="1"/>
  <c r="DG32" i="1"/>
  <c r="DR44" i="1"/>
  <c r="DG60" i="1"/>
  <c r="DG86" i="1"/>
  <c r="DJ145" i="1"/>
  <c r="DG101" i="1"/>
  <c r="DG132" i="1"/>
  <c r="DJ34" i="1"/>
  <c r="DJ74" i="1"/>
  <c r="DJ79" i="1"/>
  <c r="DJ96" i="1"/>
  <c r="DJ122" i="1"/>
  <c r="DJ137" i="1"/>
  <c r="DJ14" i="1"/>
  <c r="DJ186" i="1"/>
  <c r="DL186" i="1" s="1"/>
  <c r="DJ193" i="1"/>
  <c r="DJ207" i="1"/>
  <c r="DQ273" i="1"/>
  <c r="DJ291" i="1"/>
  <c r="DJ327" i="1"/>
  <c r="DJ23" i="1"/>
  <c r="DR27" i="1"/>
  <c r="DG54" i="1"/>
  <c r="DG67" i="1"/>
  <c r="DG68" i="1"/>
  <c r="DR73" i="1"/>
  <c r="DR77" i="1"/>
  <c r="DR89" i="1"/>
  <c r="DG92" i="1"/>
  <c r="DR288" i="1"/>
  <c r="DR148" i="1"/>
  <c r="DG174" i="1"/>
  <c r="CS221" i="1"/>
  <c r="DR221" i="1"/>
  <c r="DJ235" i="1"/>
  <c r="DQ235" i="1"/>
  <c r="DQ252" i="1"/>
  <c r="DO252" i="1"/>
  <c r="DJ279" i="1"/>
  <c r="DJ290" i="1"/>
  <c r="DL290" i="1" s="1"/>
  <c r="DJ313" i="1"/>
  <c r="DL313" i="1" s="1"/>
  <c r="DJ315" i="1"/>
  <c r="DJ325" i="1"/>
  <c r="DJ332" i="1"/>
  <c r="DR7" i="1"/>
  <c r="DG21" i="1"/>
  <c r="DG26" i="1"/>
  <c r="DG28" i="1"/>
  <c r="DR32" i="1"/>
  <c r="DR35" i="1"/>
  <c r="DR68" i="1"/>
  <c r="DG85" i="1"/>
  <c r="DG8" i="1"/>
  <c r="DG95" i="1"/>
  <c r="DG96" i="1"/>
  <c r="DR98" i="1"/>
  <c r="DG12" i="1"/>
  <c r="DG104" i="1"/>
  <c r="DG110" i="1"/>
  <c r="DG13" i="1"/>
  <c r="DG158" i="1"/>
  <c r="DR182" i="1"/>
  <c r="DR200" i="1"/>
  <c r="DG139" i="1"/>
  <c r="DG223" i="1"/>
  <c r="DG191" i="1"/>
  <c r="DG215" i="1"/>
  <c r="DG36" i="1"/>
  <c r="DG74" i="1"/>
  <c r="DG9" i="1"/>
  <c r="DG75" i="1"/>
  <c r="DG145" i="1"/>
  <c r="DR72" i="1"/>
  <c r="DG99" i="1"/>
  <c r="DG111" i="1"/>
  <c r="DG120" i="1"/>
  <c r="DG122" i="1"/>
  <c r="DG129" i="1"/>
  <c r="DR173" i="1"/>
  <c r="DR185" i="1"/>
  <c r="DG209" i="1"/>
  <c r="DG227" i="1"/>
  <c r="DG39" i="1"/>
  <c r="DG42" i="1"/>
  <c r="DG123" i="1"/>
  <c r="DG58" i="1"/>
  <c r="DG65" i="1"/>
  <c r="DG82" i="1"/>
  <c r="DG84" i="1"/>
  <c r="DG93" i="1"/>
  <c r="DR113" i="1"/>
  <c r="DG288" i="1"/>
  <c r="DG131" i="1"/>
  <c r="DG135" i="1"/>
  <c r="DR147" i="1"/>
  <c r="DG148" i="1"/>
  <c r="DG150" i="1"/>
  <c r="DG166" i="1"/>
  <c r="DG186" i="1"/>
  <c r="DG197" i="1"/>
  <c r="DG200" i="1"/>
  <c r="DR256" i="1"/>
  <c r="DL173" i="1"/>
  <c r="DG176" i="1"/>
  <c r="DR184" i="1"/>
  <c r="DR188" i="1"/>
  <c r="DG194" i="1"/>
  <c r="DR228" i="1"/>
  <c r="DG243" i="1"/>
  <c r="DG271" i="1"/>
  <c r="DG180" i="1"/>
  <c r="DR214" i="1"/>
  <c r="DR238" i="1"/>
  <c r="DG246" i="1"/>
  <c r="DR80" i="1"/>
  <c r="DR91" i="1"/>
  <c r="DG97" i="1"/>
  <c r="DG98" i="1"/>
  <c r="DR104" i="1"/>
  <c r="DG108" i="1"/>
  <c r="DG121" i="1"/>
  <c r="DG125" i="1"/>
  <c r="DG147" i="1"/>
  <c r="DG14" i="1"/>
  <c r="DG160" i="1"/>
  <c r="DR170" i="1"/>
  <c r="DG190" i="1"/>
  <c r="DG228" i="1"/>
  <c r="DG248" i="1"/>
  <c r="DG253" i="1"/>
  <c r="DG113" i="1"/>
  <c r="DG126" i="1"/>
  <c r="DG144" i="1"/>
  <c r="DG164" i="1"/>
  <c r="DR175" i="1"/>
  <c r="DG224" i="1"/>
  <c r="DG240" i="1"/>
  <c r="DG116" i="1"/>
  <c r="DR124" i="1"/>
  <c r="DG127" i="1"/>
  <c r="DR159" i="1"/>
  <c r="DG193" i="1"/>
  <c r="DG206" i="1"/>
  <c r="DR244" i="1"/>
  <c r="DG250" i="1"/>
  <c r="DG64" i="1"/>
  <c r="DG19" i="1"/>
  <c r="DR33" i="1"/>
  <c r="DG44" i="1"/>
  <c r="DG63" i="1"/>
  <c r="DR111" i="1"/>
  <c r="DL135" i="1"/>
  <c r="DR150" i="1"/>
  <c r="DG157" i="1"/>
  <c r="DR171" i="1"/>
  <c r="DG188" i="1"/>
  <c r="DG207" i="1"/>
  <c r="DR216" i="1"/>
  <c r="DG245" i="1"/>
  <c r="DR258" i="1"/>
  <c r="DG264" i="1"/>
  <c r="DR152" i="1"/>
  <c r="DG159" i="1"/>
  <c r="DR164" i="1"/>
  <c r="DG168" i="1"/>
  <c r="DR181" i="1"/>
  <c r="DG189" i="1"/>
  <c r="DR192" i="1"/>
  <c r="DG196" i="1"/>
  <c r="DR203" i="1"/>
  <c r="DR206" i="1"/>
  <c r="DR230" i="1"/>
  <c r="DR233" i="1"/>
  <c r="DG239" i="1"/>
  <c r="DG258" i="1"/>
  <c r="DR156" i="1"/>
  <c r="DR162" i="1"/>
  <c r="DR186" i="1"/>
  <c r="DR212" i="1"/>
  <c r="DG217" i="1"/>
  <c r="DG233" i="1"/>
  <c r="DG238" i="1"/>
  <c r="DR195" i="1"/>
  <c r="DR196" i="1"/>
  <c r="DR198" i="1"/>
  <c r="DG204" i="1"/>
  <c r="DG210" i="1"/>
  <c r="DG211" i="1"/>
  <c r="DG237" i="1"/>
  <c r="DR240" i="1"/>
  <c r="DR292" i="1"/>
  <c r="DG152" i="1"/>
  <c r="DR189" i="1"/>
  <c r="DG205" i="1"/>
  <c r="DR213" i="1"/>
  <c r="DG220" i="1"/>
  <c r="DG225" i="1"/>
  <c r="DG252" i="1"/>
  <c r="DG169" i="1"/>
  <c r="DR179" i="1"/>
  <c r="DR190" i="1"/>
  <c r="DG198" i="1"/>
  <c r="DG203" i="1"/>
  <c r="DR208" i="1"/>
  <c r="DR220" i="1"/>
  <c r="DG226" i="1"/>
  <c r="DR236" i="1"/>
  <c r="DR248" i="1"/>
  <c r="DG251" i="1"/>
  <c r="DR254" i="1"/>
  <c r="DG277" i="1"/>
  <c r="DG281" i="1"/>
  <c r="DG301" i="1"/>
  <c r="DG312" i="1"/>
  <c r="DR264" i="1"/>
  <c r="DG162" i="1"/>
  <c r="DR166" i="1"/>
  <c r="DG31" i="1"/>
  <c r="DR180" i="1"/>
  <c r="DR197" i="1"/>
  <c r="DG202" i="1"/>
  <c r="DR243" i="1"/>
  <c r="DR246" i="1"/>
  <c r="DR259" i="1"/>
  <c r="DR276" i="1"/>
  <c r="DG292" i="1"/>
  <c r="DG319" i="1"/>
  <c r="DG313" i="1"/>
  <c r="DG254" i="1"/>
  <c r="DG256" i="1"/>
  <c r="DG260" i="1"/>
  <c r="DG279" i="1"/>
  <c r="DR282" i="1"/>
  <c r="DG291" i="1"/>
  <c r="DG300" i="1"/>
  <c r="DR303" i="1"/>
  <c r="DR270" i="1"/>
  <c r="DR278" i="1"/>
  <c r="DG282" i="1"/>
  <c r="DR290" i="1"/>
  <c r="DG294" i="1"/>
  <c r="DG306" i="1"/>
  <c r="DG257" i="1"/>
  <c r="DG265" i="1"/>
  <c r="DG290" i="1"/>
  <c r="DG296" i="1"/>
  <c r="DG276" i="1"/>
  <c r="DG278" i="1"/>
  <c r="DR306" i="1"/>
  <c r="DG140" i="1"/>
  <c r="DR325" i="1"/>
  <c r="DG333" i="1"/>
  <c r="DR289" i="1"/>
  <c r="DR305" i="1"/>
  <c r="CZ313" i="1"/>
  <c r="DR313" i="1" s="1"/>
  <c r="CY313" i="1"/>
  <c r="CZ320" i="1"/>
  <c r="DR320" i="1" s="1"/>
  <c r="CY320" i="1"/>
  <c r="DG213" i="1"/>
  <c r="DG221" i="1"/>
  <c r="DR227" i="1"/>
  <c r="DR234" i="1"/>
  <c r="DG236" i="1"/>
  <c r="DG247" i="1"/>
  <c r="DG249" i="1"/>
  <c r="DR268" i="1"/>
  <c r="DR272" i="1"/>
  <c r="DG284" i="1"/>
  <c r="CY289" i="1"/>
  <c r="DG297" i="1"/>
  <c r="DR298" i="1"/>
  <c r="DG307" i="1"/>
  <c r="DG308" i="1"/>
  <c r="DR311" i="1"/>
  <c r="DR316" i="1"/>
  <c r="DG330" i="1"/>
  <c r="DR210" i="1"/>
  <c r="DR211" i="1"/>
  <c r="DG214" i="1"/>
  <c r="DG218" i="1"/>
  <c r="DG229" i="1"/>
  <c r="DG230" i="1"/>
  <c r="DR262" i="1"/>
  <c r="DR267" i="1"/>
  <c r="DR286" i="1"/>
  <c r="DG295" i="1"/>
  <c r="DG316" i="1"/>
  <c r="DG317" i="1"/>
  <c r="DG327" i="1"/>
  <c r="DR280" i="1"/>
  <c r="DG332" i="1"/>
  <c r="DR273" i="1"/>
  <c r="DG274" i="1"/>
  <c r="DG280" i="1"/>
  <c r="DR294" i="1"/>
  <c r="DG310" i="1"/>
  <c r="DG315" i="1"/>
  <c r="DG324" i="1"/>
  <c r="DR328" i="1"/>
  <c r="DG331" i="1"/>
  <c r="DR281" i="1"/>
  <c r="DR285" i="1"/>
  <c r="DR318" i="1"/>
  <c r="DG321" i="1"/>
  <c r="DR251" i="1"/>
  <c r="DR252" i="1"/>
  <c r="DG261" i="1"/>
  <c r="DG263" i="1"/>
  <c r="DR275" i="1"/>
  <c r="DL280" i="1"/>
  <c r="H280" i="1" s="1"/>
  <c r="DG287" i="1"/>
  <c r="CZ300" i="1"/>
  <c r="DR300" i="1" s="1"/>
  <c r="DG302" i="1"/>
  <c r="DG309" i="1"/>
  <c r="DR314" i="1"/>
  <c r="DR329" i="1"/>
  <c r="CY331" i="1"/>
  <c r="DR218" i="1"/>
  <c r="DR226" i="1"/>
  <c r="DR250" i="1"/>
  <c r="DR266" i="1"/>
  <c r="DR274" i="1"/>
  <c r="DR307" i="1"/>
  <c r="DR322" i="1"/>
  <c r="DG328" i="1"/>
  <c r="DR331" i="1"/>
  <c r="DR317" i="1"/>
  <c r="DG325" i="1"/>
  <c r="DR333" i="1"/>
  <c r="DR334" i="1"/>
  <c r="DR293" i="1"/>
  <c r="DG314" i="1"/>
  <c r="DG329" i="1"/>
  <c r="DR245" i="1"/>
  <c r="DR269" i="1"/>
  <c r="DR302" i="1"/>
  <c r="CY23" i="1"/>
  <c r="CY39" i="1"/>
  <c r="CY138" i="1"/>
  <c r="CY160" i="1"/>
  <c r="CY199" i="1"/>
  <c r="CY226" i="1"/>
  <c r="CY274" i="1"/>
  <c r="CY291" i="1"/>
  <c r="CY296" i="1"/>
  <c r="CY319" i="1"/>
  <c r="CY123" i="1"/>
  <c r="CY87" i="1"/>
  <c r="CY13" i="1"/>
  <c r="CY168" i="1"/>
  <c r="CY215" i="1"/>
  <c r="CY119" i="1"/>
  <c r="CY223" i="1"/>
  <c r="CY247" i="1"/>
  <c r="CY312" i="1"/>
  <c r="CY145" i="1"/>
  <c r="CY176" i="1"/>
  <c r="CY183" i="1"/>
  <c r="CY279" i="1"/>
  <c r="CY287" i="1"/>
  <c r="CY322" i="1"/>
  <c r="CY327" i="1"/>
  <c r="CY16" i="1"/>
  <c r="CY191" i="1"/>
  <c r="CY78" i="1"/>
  <c r="CY149" i="1"/>
  <c r="CY231" i="1"/>
  <c r="CY242" i="1"/>
  <c r="CY266" i="1"/>
  <c r="CZ56" i="1"/>
  <c r="CY56" i="1"/>
  <c r="DS167" i="1"/>
  <c r="DK167" i="1"/>
  <c r="DK23" i="1"/>
  <c r="DK35" i="1"/>
  <c r="DS46" i="1"/>
  <c r="DR34" i="1"/>
  <c r="DQ34" i="1"/>
  <c r="DS30" i="1"/>
  <c r="DR43" i="1"/>
  <c r="DR19" i="1"/>
  <c r="DQ19" i="1"/>
  <c r="DS22" i="1"/>
  <c r="DS58" i="1"/>
  <c r="DK58" i="1"/>
  <c r="DK116" i="1"/>
  <c r="DN19" i="1"/>
  <c r="DN34" i="1"/>
  <c r="DC52" i="1"/>
  <c r="DD52" i="1" s="1"/>
  <c r="DP52" i="1" s="1"/>
  <c r="DA52" i="1"/>
  <c r="DB52" i="1" s="1"/>
  <c r="DC69" i="1"/>
  <c r="DD69" i="1" s="1"/>
  <c r="DP69" i="1" s="1"/>
  <c r="DA69" i="1"/>
  <c r="DB69" i="1" s="1"/>
  <c r="DC77" i="1"/>
  <c r="DD77" i="1" s="1"/>
  <c r="DA77" i="1"/>
  <c r="DB77" i="1" s="1"/>
  <c r="DC82" i="1"/>
  <c r="DD82" i="1" s="1"/>
  <c r="DP82" i="1" s="1"/>
  <c r="DA82" i="1"/>
  <c r="DB82" i="1" s="1"/>
  <c r="DC86" i="1"/>
  <c r="DD86" i="1" s="1"/>
  <c r="DA86" i="1"/>
  <c r="DB86" i="1" s="1"/>
  <c r="DC11" i="1"/>
  <c r="DD11" i="1" s="1"/>
  <c r="DN11" i="1" s="1"/>
  <c r="DA11" i="1"/>
  <c r="DB11" i="1" s="1"/>
  <c r="DA131" i="1"/>
  <c r="DB131" i="1" s="1"/>
  <c r="DC131" i="1"/>
  <c r="DD131" i="1" s="1"/>
  <c r="DQ136" i="1"/>
  <c r="DQ146" i="1"/>
  <c r="DC148" i="1"/>
  <c r="DD148" i="1" s="1"/>
  <c r="DA148" i="1"/>
  <c r="DB148" i="1" s="1"/>
  <c r="DS169" i="1"/>
  <c r="DK169" i="1"/>
  <c r="DO169" i="1"/>
  <c r="DC42" i="1"/>
  <c r="DD42" i="1" s="1"/>
  <c r="DS145" i="1"/>
  <c r="DK145" i="1"/>
  <c r="DA106" i="1"/>
  <c r="DB106" i="1" s="1"/>
  <c r="DC106" i="1"/>
  <c r="DD106" i="1" s="1"/>
  <c r="DN88" i="1"/>
  <c r="DP15" i="1"/>
  <c r="DP19" i="1"/>
  <c r="DN22" i="1"/>
  <c r="DP34" i="1"/>
  <c r="DK122" i="1"/>
  <c r="DA136" i="1"/>
  <c r="DB136" i="1" s="1"/>
  <c r="DP136" i="1"/>
  <c r="DN136" i="1"/>
  <c r="DC203" i="1"/>
  <c r="DD203" i="1" s="1"/>
  <c r="DN203" i="1" s="1"/>
  <c r="DA203" i="1"/>
  <c r="DB203" i="1" s="1"/>
  <c r="DC109" i="1"/>
  <c r="DD109" i="1" s="1"/>
  <c r="DA109" i="1"/>
  <c r="DB109" i="1" s="1"/>
  <c r="DA64" i="1"/>
  <c r="DB64" i="1" s="1"/>
  <c r="DA15" i="1"/>
  <c r="DB15" i="1" s="1"/>
  <c r="DA19" i="1"/>
  <c r="DB19" i="1" s="1"/>
  <c r="DA142" i="1"/>
  <c r="DB142" i="1" s="1"/>
  <c r="DA26" i="1"/>
  <c r="DB26" i="1" s="1"/>
  <c r="DA83" i="1"/>
  <c r="DB83" i="1" s="1"/>
  <c r="DA34" i="1"/>
  <c r="DB34" i="1" s="1"/>
  <c r="DC74" i="1"/>
  <c r="DD74" i="1" s="1"/>
  <c r="DP74" i="1" s="1"/>
  <c r="DA74" i="1"/>
  <c r="DB74" i="1" s="1"/>
  <c r="DC97" i="1"/>
  <c r="DD97" i="1" s="1"/>
  <c r="DP97" i="1" s="1"/>
  <c r="DA97" i="1"/>
  <c r="DB97" i="1" s="1"/>
  <c r="DS132" i="1"/>
  <c r="DC288" i="1"/>
  <c r="DD288" i="1" s="1"/>
  <c r="DN288" i="1" s="1"/>
  <c r="DA288" i="1"/>
  <c r="DB288" i="1" s="1"/>
  <c r="DA168" i="1"/>
  <c r="DB168" i="1" s="1"/>
  <c r="DC168" i="1"/>
  <c r="DD168" i="1" s="1"/>
  <c r="DP168" i="1" s="1"/>
  <c r="DN15" i="1"/>
  <c r="DP33" i="1"/>
  <c r="DS85" i="1"/>
  <c r="DQ110" i="1"/>
  <c r="DR110" i="1"/>
  <c r="DN110" i="1"/>
  <c r="DC135" i="1"/>
  <c r="DD135" i="1" s="1"/>
  <c r="DA135" i="1"/>
  <c r="DB135" i="1" s="1"/>
  <c r="DK78" i="1"/>
  <c r="DP36" i="1"/>
  <c r="DC64" i="1"/>
  <c r="DD64" i="1" s="1"/>
  <c r="DQ64" i="1" s="1"/>
  <c r="DA36" i="1"/>
  <c r="DB36" i="1" s="1"/>
  <c r="DA42" i="1"/>
  <c r="DB42" i="1" s="1"/>
  <c r="DC6" i="1"/>
  <c r="DD6" i="1" s="1"/>
  <c r="DA6" i="1"/>
  <c r="DB6" i="1" s="1"/>
  <c r="DC65" i="1"/>
  <c r="DD65" i="1" s="1"/>
  <c r="DQ65" i="1" s="1"/>
  <c r="DA65" i="1"/>
  <c r="DB65" i="1" s="1"/>
  <c r="DC101" i="1"/>
  <c r="DD101" i="1" s="1"/>
  <c r="DP101" i="1" s="1"/>
  <c r="DA101" i="1"/>
  <c r="DB101" i="1" s="1"/>
  <c r="DC137" i="1"/>
  <c r="DD137" i="1" s="1"/>
  <c r="DQ137" i="1" s="1"/>
  <c r="DA137" i="1"/>
  <c r="DB137" i="1" s="1"/>
  <c r="DC91" i="1"/>
  <c r="DD91" i="1" s="1"/>
  <c r="DN91" i="1" s="1"/>
  <c r="DA91" i="1"/>
  <c r="DB91" i="1" s="1"/>
  <c r="DN114" i="1"/>
  <c r="DN36" i="1"/>
  <c r="DN41" i="1"/>
  <c r="DO44" i="1"/>
  <c r="DC60" i="1"/>
  <c r="DD60" i="1" s="1"/>
  <c r="DA60" i="1"/>
  <c r="DB60" i="1" s="1"/>
  <c r="DS62" i="1"/>
  <c r="DK62" i="1"/>
  <c r="DL62" i="1" s="1"/>
  <c r="DO62" i="1"/>
  <c r="DA121" i="1"/>
  <c r="DB121" i="1" s="1"/>
  <c r="DC121" i="1"/>
  <c r="DD121" i="1" s="1"/>
  <c r="DC129" i="1"/>
  <c r="DD129" i="1" s="1"/>
  <c r="DN129" i="1" s="1"/>
  <c r="DA129" i="1"/>
  <c r="DB129" i="1" s="1"/>
  <c r="DC158" i="1"/>
  <c r="DD158" i="1" s="1"/>
  <c r="DN158" i="1" s="1"/>
  <c r="DA158" i="1"/>
  <c r="DB158" i="1" s="1"/>
  <c r="DP146" i="1"/>
  <c r="DA146" i="1"/>
  <c r="DB146" i="1" s="1"/>
  <c r="DN146" i="1"/>
  <c r="DC31" i="1"/>
  <c r="DD31" i="1" s="1"/>
  <c r="DA31" i="1"/>
  <c r="DB31" i="1" s="1"/>
  <c r="DC193" i="1"/>
  <c r="DD193" i="1" s="1"/>
  <c r="DA193" i="1"/>
  <c r="DB193" i="1" s="1"/>
  <c r="DM240" i="1"/>
  <c r="DK240" i="1"/>
  <c r="DL240" i="1" s="1"/>
  <c r="DA110" i="1"/>
  <c r="DB110" i="1" s="1"/>
  <c r="DP110" i="1"/>
  <c r="DA111" i="1"/>
  <c r="DB111" i="1" s="1"/>
  <c r="DQ162" i="1"/>
  <c r="DP162" i="1"/>
  <c r="DS166" i="1"/>
  <c r="DK166" i="1"/>
  <c r="DL166" i="1" s="1"/>
  <c r="DC171" i="1"/>
  <c r="DD171" i="1" s="1"/>
  <c r="DA171" i="1"/>
  <c r="DB171" i="1" s="1"/>
  <c r="DA114" i="1"/>
  <c r="DB114" i="1" s="1"/>
  <c r="DP114" i="1"/>
  <c r="DC143" i="1"/>
  <c r="DD143" i="1" s="1"/>
  <c r="DP143" i="1" s="1"/>
  <c r="DC159" i="1"/>
  <c r="DD159" i="1" s="1"/>
  <c r="DN159" i="1" s="1"/>
  <c r="DC169" i="1"/>
  <c r="DD169" i="1" s="1"/>
  <c r="DR187" i="1"/>
  <c r="DQ187" i="1"/>
  <c r="DC188" i="1"/>
  <c r="DD188" i="1" s="1"/>
  <c r="DP188" i="1" s="1"/>
  <c r="DA188" i="1"/>
  <c r="DB188" i="1" s="1"/>
  <c r="DC211" i="1"/>
  <c r="DD211" i="1" s="1"/>
  <c r="DQ211" i="1" s="1"/>
  <c r="DA211" i="1"/>
  <c r="DB211" i="1" s="1"/>
  <c r="DN111" i="1"/>
  <c r="DA141" i="1"/>
  <c r="DB141" i="1" s="1"/>
  <c r="DP141" i="1"/>
  <c r="DN141" i="1"/>
  <c r="DC14" i="1"/>
  <c r="DD14" i="1" s="1"/>
  <c r="DN14" i="1" s="1"/>
  <c r="DA14" i="1"/>
  <c r="DB14" i="1" s="1"/>
  <c r="DA159" i="1"/>
  <c r="DB159" i="1" s="1"/>
  <c r="DA118" i="1"/>
  <c r="DB118" i="1" s="1"/>
  <c r="DA126" i="1"/>
  <c r="DB126" i="1" s="1"/>
  <c r="DR172" i="1"/>
  <c r="DQ172" i="1"/>
  <c r="DO228" i="1"/>
  <c r="DM228" i="1"/>
  <c r="DK228" i="1"/>
  <c r="DL228" i="1" s="1"/>
  <c r="DS228" i="1"/>
  <c r="DA162" i="1"/>
  <c r="DB162" i="1" s="1"/>
  <c r="DA163" i="1"/>
  <c r="DB163" i="1" s="1"/>
  <c r="DS165" i="1"/>
  <c r="DA176" i="1"/>
  <c r="DB176" i="1" s="1"/>
  <c r="DP176" i="1"/>
  <c r="DC195" i="1"/>
  <c r="DD195" i="1" s="1"/>
  <c r="DP195" i="1" s="1"/>
  <c r="DA195" i="1"/>
  <c r="DB195" i="1" s="1"/>
  <c r="DC215" i="1"/>
  <c r="DD215" i="1" s="1"/>
  <c r="DA215" i="1"/>
  <c r="DB215" i="1" s="1"/>
  <c r="DA218" i="1"/>
  <c r="DB218" i="1" s="1"/>
  <c r="DC165" i="1"/>
  <c r="DD165" i="1" s="1"/>
  <c r="DP165" i="1" s="1"/>
  <c r="DC180" i="1"/>
  <c r="DD180" i="1" s="1"/>
  <c r="DN180" i="1" s="1"/>
  <c r="DA180" i="1"/>
  <c r="DB180" i="1" s="1"/>
  <c r="DC194" i="1"/>
  <c r="DD194" i="1" s="1"/>
  <c r="DN194" i="1" s="1"/>
  <c r="DC202" i="1"/>
  <c r="DD202" i="1" s="1"/>
  <c r="DN162" i="1"/>
  <c r="DA164" i="1"/>
  <c r="DB164" i="1" s="1"/>
  <c r="DP164" i="1"/>
  <c r="DN164" i="1"/>
  <c r="DA173" i="1"/>
  <c r="DB173" i="1" s="1"/>
  <c r="DS174" i="1"/>
  <c r="DK174" i="1"/>
  <c r="DL174" i="1" s="1"/>
  <c r="DO174" i="1"/>
  <c r="DA179" i="1"/>
  <c r="DB179" i="1" s="1"/>
  <c r="DC183" i="1"/>
  <c r="DD183" i="1" s="1"/>
  <c r="DA187" i="1"/>
  <c r="DB187" i="1" s="1"/>
  <c r="DP187" i="1"/>
  <c r="DN187" i="1"/>
  <c r="DA191" i="1"/>
  <c r="DB191" i="1" s="1"/>
  <c r="DP191" i="1"/>
  <c r="DN191" i="1"/>
  <c r="DC218" i="1"/>
  <c r="DD218" i="1" s="1"/>
  <c r="DN218" i="1" s="1"/>
  <c r="DA229" i="1"/>
  <c r="DB229" i="1" s="1"/>
  <c r="DC229" i="1"/>
  <c r="DD229" i="1" s="1"/>
  <c r="DP163" i="1"/>
  <c r="DN163" i="1"/>
  <c r="DC184" i="1"/>
  <c r="DD184" i="1" s="1"/>
  <c r="DN184" i="1" s="1"/>
  <c r="DA184" i="1"/>
  <c r="DB184" i="1" s="1"/>
  <c r="DA194" i="1"/>
  <c r="DB194" i="1" s="1"/>
  <c r="DO201" i="1"/>
  <c r="DK201" i="1"/>
  <c r="DL201" i="1" s="1"/>
  <c r="DA202" i="1"/>
  <c r="DB202" i="1" s="1"/>
  <c r="DA210" i="1"/>
  <c r="DB210" i="1" s="1"/>
  <c r="DC210" i="1"/>
  <c r="DD210" i="1" s="1"/>
  <c r="DN210" i="1" s="1"/>
  <c r="DO170" i="1"/>
  <c r="DA172" i="1"/>
  <c r="DB172" i="1" s="1"/>
  <c r="DP172" i="1"/>
  <c r="DN172" i="1"/>
  <c r="DN174" i="1"/>
  <c r="DA214" i="1"/>
  <c r="DB214" i="1" s="1"/>
  <c r="DP214" i="1"/>
  <c r="DA221" i="1"/>
  <c r="DB221" i="1" s="1"/>
  <c r="DC221" i="1"/>
  <c r="DD221" i="1" s="1"/>
  <c r="DP221" i="1" s="1"/>
  <c r="DA237" i="1"/>
  <c r="DB237" i="1" s="1"/>
  <c r="DC287" i="1"/>
  <c r="DD287" i="1" s="1"/>
  <c r="DQ287" i="1" s="1"/>
  <c r="DA287" i="1"/>
  <c r="DB287" i="1" s="1"/>
  <c r="DA224" i="1"/>
  <c r="DB224" i="1" s="1"/>
  <c r="DC236" i="1"/>
  <c r="DD236" i="1" s="1"/>
  <c r="DQ236" i="1" s="1"/>
  <c r="DA236" i="1"/>
  <c r="DB236" i="1" s="1"/>
  <c r="DR241" i="1"/>
  <c r="DQ241" i="1"/>
  <c r="DC277" i="1"/>
  <c r="DD277" i="1" s="1"/>
  <c r="DA277" i="1"/>
  <c r="DB277" i="1" s="1"/>
  <c r="DA206" i="1"/>
  <c r="DB206" i="1" s="1"/>
  <c r="DP206" i="1"/>
  <c r="DN206" i="1"/>
  <c r="DC207" i="1"/>
  <c r="DD207" i="1" s="1"/>
  <c r="DP207" i="1" s="1"/>
  <c r="DA207" i="1"/>
  <c r="DB207" i="1" s="1"/>
  <c r="DA217" i="1"/>
  <c r="DB217" i="1" s="1"/>
  <c r="DC217" i="1"/>
  <c r="DD217" i="1" s="1"/>
  <c r="DM235" i="1"/>
  <c r="DO235" i="1"/>
  <c r="DK235" i="1"/>
  <c r="DL235" i="1" s="1"/>
  <c r="DC238" i="1"/>
  <c r="DD238" i="1" s="1"/>
  <c r="DA245" i="1"/>
  <c r="DB245" i="1" s="1"/>
  <c r="DC245" i="1"/>
  <c r="DD245" i="1" s="1"/>
  <c r="DN245" i="1" s="1"/>
  <c r="DO248" i="1"/>
  <c r="DA258" i="1"/>
  <c r="DB258" i="1" s="1"/>
  <c r="DC258" i="1"/>
  <c r="DD258" i="1" s="1"/>
  <c r="DP258" i="1" s="1"/>
  <c r="DS283" i="1"/>
  <c r="DA198" i="1"/>
  <c r="DB198" i="1" s="1"/>
  <c r="DP198" i="1"/>
  <c r="DN198" i="1"/>
  <c r="DC199" i="1"/>
  <c r="DD199" i="1" s="1"/>
  <c r="DN199" i="1" s="1"/>
  <c r="DA199" i="1"/>
  <c r="DB199" i="1" s="1"/>
  <c r="DC263" i="1"/>
  <c r="DD263" i="1" s="1"/>
  <c r="DQ263" i="1" s="1"/>
  <c r="DA263" i="1"/>
  <c r="DB263" i="1" s="1"/>
  <c r="DC246" i="1"/>
  <c r="DD246" i="1" s="1"/>
  <c r="DN246" i="1" s="1"/>
  <c r="DA246" i="1"/>
  <c r="DB246" i="1" s="1"/>
  <c r="DA220" i="1"/>
  <c r="DB220" i="1" s="1"/>
  <c r="DS222" i="1"/>
  <c r="DC251" i="1"/>
  <c r="DD251" i="1" s="1"/>
  <c r="DP251" i="1" s="1"/>
  <c r="DA251" i="1"/>
  <c r="DB251" i="1" s="1"/>
  <c r="DA262" i="1"/>
  <c r="DB262" i="1" s="1"/>
  <c r="DN262" i="1"/>
  <c r="DA266" i="1"/>
  <c r="DB266" i="1" s="1"/>
  <c r="DC266" i="1"/>
  <c r="DD266" i="1" s="1"/>
  <c r="DN266" i="1" s="1"/>
  <c r="DC278" i="1"/>
  <c r="DD278" i="1" s="1"/>
  <c r="DP278" i="1" s="1"/>
  <c r="DA278" i="1"/>
  <c r="DB278" i="1" s="1"/>
  <c r="DK281" i="1"/>
  <c r="DL281" i="1" s="1"/>
  <c r="DO290" i="1"/>
  <c r="DS290" i="1"/>
  <c r="DM290" i="1"/>
  <c r="DA233" i="1"/>
  <c r="DB233" i="1" s="1"/>
  <c r="DP233" i="1"/>
  <c r="DP240" i="1"/>
  <c r="DN240" i="1"/>
  <c r="DA241" i="1"/>
  <c r="DB241" i="1" s="1"/>
  <c r="DP241" i="1"/>
  <c r="DS260" i="1"/>
  <c r="DK260" i="1"/>
  <c r="DL260" i="1" s="1"/>
  <c r="DP262" i="1"/>
  <c r="DN216" i="1"/>
  <c r="DA226" i="1"/>
  <c r="DB226" i="1" s="1"/>
  <c r="DN228" i="1"/>
  <c r="DN233" i="1"/>
  <c r="DA234" i="1"/>
  <c r="DB234" i="1" s="1"/>
  <c r="DN234" i="1"/>
  <c r="DN241" i="1"/>
  <c r="DP242" i="1"/>
  <c r="DO274" i="1"/>
  <c r="DS304" i="1"/>
  <c r="DO304" i="1"/>
  <c r="DC298" i="1"/>
  <c r="DD298" i="1" s="1"/>
  <c r="DP298" i="1" s="1"/>
  <c r="DA298" i="1"/>
  <c r="DB298" i="1" s="1"/>
  <c r="DC259" i="1"/>
  <c r="DD259" i="1" s="1"/>
  <c r="DA259" i="1"/>
  <c r="DB259" i="1" s="1"/>
  <c r="DC279" i="1"/>
  <c r="DD279" i="1" s="1"/>
  <c r="DQ279" i="1" s="1"/>
  <c r="DA279" i="1"/>
  <c r="DB279" i="1" s="1"/>
  <c r="DC281" i="1"/>
  <c r="DD281" i="1" s="1"/>
  <c r="DC286" i="1"/>
  <c r="DD286" i="1" s="1"/>
  <c r="DA286" i="1"/>
  <c r="DB286" i="1" s="1"/>
  <c r="DC247" i="1"/>
  <c r="DD247" i="1" s="1"/>
  <c r="DM252" i="1"/>
  <c r="DS252" i="1"/>
  <c r="DK252" i="1"/>
  <c r="DL252" i="1" s="1"/>
  <c r="DC275" i="1"/>
  <c r="DD275" i="1" s="1"/>
  <c r="DP275" i="1" s="1"/>
  <c r="DO275" i="1"/>
  <c r="DC294" i="1"/>
  <c r="DD294" i="1" s="1"/>
  <c r="DP294" i="1" s="1"/>
  <c r="DA294" i="1"/>
  <c r="DB294" i="1" s="1"/>
  <c r="DC296" i="1"/>
  <c r="DD296" i="1" s="1"/>
  <c r="DQ296" i="1" s="1"/>
  <c r="DA296" i="1"/>
  <c r="DB296" i="1" s="1"/>
  <c r="DC249" i="1"/>
  <c r="DD249" i="1" s="1"/>
  <c r="DA250" i="1"/>
  <c r="DB250" i="1" s="1"/>
  <c r="DN250" i="1"/>
  <c r="DA254" i="1"/>
  <c r="DB254" i="1" s="1"/>
  <c r="DN254" i="1"/>
  <c r="DC255" i="1"/>
  <c r="DD255" i="1" s="1"/>
  <c r="DP255" i="1" s="1"/>
  <c r="DA255" i="1"/>
  <c r="DB255" i="1" s="1"/>
  <c r="DC280" i="1"/>
  <c r="DD280" i="1" s="1"/>
  <c r="DA280" i="1"/>
  <c r="DB280" i="1" s="1"/>
  <c r="DS307" i="1"/>
  <c r="DO307" i="1"/>
  <c r="DC309" i="1"/>
  <c r="DD309" i="1" s="1"/>
  <c r="DQ309" i="1" s="1"/>
  <c r="DA309" i="1"/>
  <c r="DB309" i="1" s="1"/>
  <c r="DS275" i="1"/>
  <c r="DA268" i="1"/>
  <c r="DB268" i="1" s="1"/>
  <c r="DP268" i="1"/>
  <c r="DN268" i="1"/>
  <c r="DS291" i="1"/>
  <c r="DR326" i="1"/>
  <c r="DQ326" i="1"/>
  <c r="DS292" i="1"/>
  <c r="DA140" i="1"/>
  <c r="DB140" i="1" s="1"/>
  <c r="DC140" i="1"/>
  <c r="DD140" i="1" s="1"/>
  <c r="DC303" i="1"/>
  <c r="DD303" i="1" s="1"/>
  <c r="DN303" i="1" s="1"/>
  <c r="DA303" i="1"/>
  <c r="DB303" i="1" s="1"/>
  <c r="DN329" i="1"/>
  <c r="DC299" i="1"/>
  <c r="DD299" i="1" s="1"/>
  <c r="DP299" i="1" s="1"/>
  <c r="DC301" i="1"/>
  <c r="DD301" i="1" s="1"/>
  <c r="DP301" i="1" s="1"/>
  <c r="DA301" i="1"/>
  <c r="DB301" i="1" s="1"/>
  <c r="DA270" i="1"/>
  <c r="DB270" i="1" s="1"/>
  <c r="DA302" i="1"/>
  <c r="DB302" i="1" s="1"/>
  <c r="DC312" i="1"/>
  <c r="DD312" i="1" s="1"/>
  <c r="DQ312" i="1" s="1"/>
  <c r="DA312" i="1"/>
  <c r="DB312" i="1" s="1"/>
  <c r="DP317" i="1"/>
  <c r="DC319" i="1"/>
  <c r="DD319" i="1" s="1"/>
  <c r="DP319" i="1" s="1"/>
  <c r="DA319" i="1"/>
  <c r="DB319" i="1" s="1"/>
  <c r="DA322" i="1"/>
  <c r="DB322" i="1" s="1"/>
  <c r="DP322" i="1"/>
  <c r="DN322" i="1"/>
  <c r="DA306" i="1"/>
  <c r="DB306" i="1" s="1"/>
  <c r="DS324" i="1"/>
  <c r="DK324" i="1"/>
  <c r="DL324" i="1" s="1"/>
  <c r="DA326" i="1"/>
  <c r="DB326" i="1" s="1"/>
  <c r="DP326" i="1"/>
  <c r="DN326" i="1"/>
  <c r="DC315" i="1"/>
  <c r="DD315" i="1" s="1"/>
  <c r="DP315" i="1" s="1"/>
  <c r="DA315" i="1"/>
  <c r="DB315" i="1" s="1"/>
  <c r="DC330" i="1"/>
  <c r="DD330" i="1" s="1"/>
  <c r="DQ330" i="1" s="1"/>
  <c r="DA330" i="1"/>
  <c r="DB330" i="1" s="1"/>
  <c r="DO333" i="1"/>
  <c r="DC334" i="1"/>
  <c r="DD334" i="1" s="1"/>
  <c r="DA334" i="1"/>
  <c r="DB334" i="1" s="1"/>
  <c r="DC306" i="1"/>
  <c r="DD306" i="1" s="1"/>
  <c r="DP306" i="1" s="1"/>
  <c r="DP304" i="1"/>
  <c r="DS316" i="1"/>
  <c r="DK316" i="1"/>
  <c r="DL316" i="1" s="1"/>
  <c r="DA318" i="1"/>
  <c r="DB318" i="1" s="1"/>
  <c r="DP318" i="1"/>
  <c r="DN318" i="1"/>
  <c r="DK310" i="1"/>
  <c r="DS313" i="1"/>
  <c r="DC323" i="1"/>
  <c r="DD323" i="1" s="1"/>
  <c r="DN323" i="1" s="1"/>
  <c r="DA323" i="1"/>
  <c r="DB323" i="1" s="1"/>
  <c r="DP325" i="1"/>
  <c r="DN325" i="1"/>
  <c r="DO328" i="1"/>
  <c r="DC316" i="1"/>
  <c r="DD316" i="1" s="1"/>
  <c r="DN316" i="1" s="1"/>
  <c r="DC324" i="1"/>
  <c r="DD324" i="1" s="1"/>
  <c r="DO324" i="1" s="1"/>
  <c r="DA327" i="1"/>
  <c r="DB327" i="1" s="1"/>
  <c r="DC328" i="1"/>
  <c r="DD328" i="1" s="1"/>
  <c r="DN328" i="1" s="1"/>
  <c r="DA331" i="1"/>
  <c r="DB331" i="1" s="1"/>
  <c r="DC332" i="1"/>
  <c r="DD332" i="1" s="1"/>
  <c r="DC327" i="1"/>
  <c r="DD327" i="1" s="1"/>
  <c r="DN327" i="1" s="1"/>
  <c r="AD99" i="1"/>
  <c r="AF99" i="1" s="1"/>
  <c r="AD135" i="1"/>
  <c r="AF135" i="1" s="1"/>
  <c r="AD85" i="1"/>
  <c r="AF85" i="1" s="1"/>
  <c r="AD111" i="1"/>
  <c r="AF111" i="1" s="1"/>
  <c r="AD19" i="1"/>
  <c r="AF19" i="1" s="1"/>
  <c r="AD65" i="1"/>
  <c r="AF65" i="1" s="1"/>
  <c r="AD210" i="1"/>
  <c r="AF210" i="1" s="1"/>
  <c r="AD226" i="1"/>
  <c r="AF226" i="1" s="1"/>
  <c r="AD20" i="1"/>
  <c r="AF20" i="1" s="1"/>
  <c r="AD44" i="1"/>
  <c r="AF44" i="1" s="1"/>
  <c r="AD92" i="1"/>
  <c r="AF92" i="1" s="1"/>
  <c r="AD116" i="1"/>
  <c r="AF116" i="1" s="1"/>
  <c r="AD124" i="1"/>
  <c r="AF124" i="1" s="1"/>
  <c r="AD144" i="1"/>
  <c r="AF144" i="1" s="1"/>
  <c r="AD172" i="1"/>
  <c r="AF172" i="1" s="1"/>
  <c r="AD179" i="1"/>
  <c r="AF179" i="1" s="1"/>
  <c r="AD195" i="1"/>
  <c r="AF195" i="1" s="1"/>
  <c r="AD21" i="1"/>
  <c r="AF21" i="1" s="1"/>
  <c r="AD28" i="1"/>
  <c r="AF28" i="1" s="1"/>
  <c r="AD46" i="1"/>
  <c r="AF46" i="1" s="1"/>
  <c r="AD67" i="1"/>
  <c r="AF67" i="1" s="1"/>
  <c r="AD88" i="1"/>
  <c r="AF88" i="1" s="1"/>
  <c r="AD22" i="1"/>
  <c r="AF22" i="1" s="1"/>
  <c r="AD30" i="1"/>
  <c r="AF30" i="1" s="1"/>
  <c r="AD37" i="1"/>
  <c r="AF37" i="1" s="1"/>
  <c r="AD59" i="1"/>
  <c r="AF59" i="1" s="1"/>
  <c r="AD76" i="1"/>
  <c r="AF76" i="1" s="1"/>
  <c r="AD74" i="1"/>
  <c r="AF74" i="1" s="1"/>
  <c r="AD202" i="1"/>
  <c r="AF202" i="1" s="1"/>
  <c r="AD218" i="1"/>
  <c r="AF218" i="1" s="1"/>
  <c r="AD7" i="1"/>
  <c r="AF7" i="1" s="1"/>
  <c r="AD35" i="1"/>
  <c r="AF35" i="1" s="1"/>
  <c r="AD84" i="1"/>
  <c r="AF84" i="1" s="1"/>
  <c r="AD108" i="1"/>
  <c r="AF108" i="1" s="1"/>
  <c r="AD134" i="1"/>
  <c r="AF134" i="1" s="1"/>
  <c r="AD187" i="1"/>
  <c r="AF187" i="1" s="1"/>
  <c r="AD81" i="1"/>
  <c r="AF81" i="1" s="1"/>
  <c r="AD142" i="1"/>
  <c r="AF142" i="1" s="1"/>
  <c r="AD83" i="1"/>
  <c r="AF83" i="1" s="1"/>
  <c r="AD6" i="1"/>
  <c r="AF6" i="1" s="1"/>
  <c r="AD175" i="1"/>
  <c r="AF175" i="1" s="1"/>
  <c r="AD64" i="1"/>
  <c r="AF64" i="1" s="1"/>
  <c r="AD52" i="1"/>
  <c r="AF52" i="1" s="1"/>
  <c r="AD178" i="1"/>
  <c r="AF178" i="1" s="1"/>
  <c r="AD234" i="1"/>
  <c r="AF234" i="1" s="1"/>
  <c r="AD66" i="1"/>
  <c r="AF66" i="1" s="1"/>
  <c r="AD16" i="1"/>
  <c r="AF16" i="1" s="1"/>
  <c r="AD62" i="1"/>
  <c r="AF62" i="1" s="1"/>
  <c r="AD34" i="1"/>
  <c r="AF34" i="1" s="1"/>
  <c r="AD82" i="1"/>
  <c r="AF82" i="1" s="1"/>
  <c r="AD194" i="1"/>
  <c r="AF194" i="1" s="1"/>
  <c r="AD242" i="1"/>
  <c r="AF242" i="1" s="1"/>
  <c r="AD27" i="1"/>
  <c r="AF27" i="1" s="1"/>
  <c r="AD54" i="1"/>
  <c r="AF54" i="1" s="1"/>
  <c r="AD98" i="1"/>
  <c r="AF98" i="1" s="1"/>
  <c r="AD156" i="1"/>
  <c r="AF156" i="1" s="1"/>
  <c r="AD23" i="1"/>
  <c r="AF23" i="1" s="1"/>
  <c r="AD168" i="1"/>
  <c r="AF168" i="1" s="1"/>
  <c r="AD17" i="1"/>
  <c r="AF17" i="1" s="1"/>
  <c r="AD24" i="1"/>
  <c r="AF24" i="1" s="1"/>
  <c r="AD32" i="1"/>
  <c r="AF32" i="1" s="1"/>
  <c r="AD40" i="1"/>
  <c r="AF40" i="1" s="1"/>
  <c r="AD50" i="1"/>
  <c r="AF50" i="1" s="1"/>
  <c r="AD63" i="1"/>
  <c r="AF63" i="1" s="1"/>
  <c r="AD71" i="1"/>
  <c r="AF71" i="1" s="1"/>
  <c r="AD184" i="1"/>
  <c r="AF184" i="1" s="1"/>
  <c r="AD192" i="1"/>
  <c r="AF192" i="1" s="1"/>
  <c r="AD208" i="1"/>
  <c r="AF208" i="1" s="1"/>
  <c r="AD216" i="1"/>
  <c r="AF216" i="1" s="1"/>
  <c r="AD224" i="1"/>
  <c r="AF224" i="1" s="1"/>
  <c r="AD232" i="1"/>
  <c r="AF232" i="1" s="1"/>
  <c r="AD248" i="1"/>
  <c r="AF248" i="1" s="1"/>
  <c r="AD256" i="1"/>
  <c r="AF256" i="1" s="1"/>
  <c r="AD42" i="1"/>
  <c r="AF42" i="1" s="1"/>
  <c r="AD186" i="1"/>
  <c r="AF186" i="1" s="1"/>
  <c r="AD250" i="1"/>
  <c r="AF250" i="1" s="1"/>
  <c r="AD9" i="1"/>
  <c r="AF9" i="1" s="1"/>
  <c r="AD43" i="1"/>
  <c r="AF43" i="1" s="1"/>
  <c r="AD18" i="1"/>
  <c r="AF18" i="1" s="1"/>
  <c r="AD25" i="1"/>
  <c r="AF25" i="1" s="1"/>
  <c r="AD33" i="1"/>
  <c r="AF33" i="1" s="1"/>
  <c r="AD41" i="1"/>
  <c r="AF41" i="1" s="1"/>
  <c r="AD51" i="1"/>
  <c r="AF51" i="1" s="1"/>
  <c r="AD48" i="1"/>
  <c r="AF48" i="1" s="1"/>
  <c r="AD73" i="1"/>
  <c r="AF73" i="1" s="1"/>
  <c r="AD170" i="1"/>
  <c r="AF170" i="1" s="1"/>
  <c r="AD258" i="1"/>
  <c r="AF258" i="1" s="1"/>
  <c r="AD180" i="1"/>
  <c r="AF180" i="1" s="1"/>
  <c r="AD188" i="1"/>
  <c r="AF188" i="1" s="1"/>
  <c r="AD196" i="1"/>
  <c r="AF196" i="1" s="1"/>
  <c r="AD204" i="1"/>
  <c r="AF204" i="1" s="1"/>
  <c r="AD212" i="1"/>
  <c r="AF212" i="1" s="1"/>
  <c r="AD220" i="1"/>
  <c r="AF220" i="1" s="1"/>
  <c r="AD228" i="1"/>
  <c r="AF228" i="1" s="1"/>
  <c r="AD236" i="1"/>
  <c r="AF236" i="1" s="1"/>
  <c r="AD244" i="1"/>
  <c r="AF244" i="1" s="1"/>
  <c r="AD252" i="1"/>
  <c r="AF252" i="1" s="1"/>
  <c r="AD260" i="1"/>
  <c r="AF260" i="1" s="1"/>
  <c r="AD268" i="1"/>
  <c r="AF268" i="1" s="1"/>
  <c r="AD276" i="1"/>
  <c r="AF276" i="1" s="1"/>
  <c r="AD284" i="1"/>
  <c r="AF284" i="1" s="1"/>
  <c r="AD293" i="1"/>
  <c r="AF293" i="1" s="1"/>
  <c r="AD301" i="1"/>
  <c r="AF301" i="1" s="1"/>
  <c r="AD309" i="1"/>
  <c r="AF309" i="1" s="1"/>
  <c r="AD316" i="1"/>
  <c r="AF316" i="1" s="1"/>
  <c r="AD324" i="1"/>
  <c r="AF324" i="1" s="1"/>
  <c r="AD332" i="1"/>
  <c r="AF332" i="1" s="1"/>
  <c r="AD89" i="1"/>
  <c r="AF89" i="1" s="1"/>
  <c r="AD104" i="1"/>
  <c r="AF104" i="1" s="1"/>
  <c r="AD120" i="1"/>
  <c r="AF120" i="1" s="1"/>
  <c r="AD219" i="1"/>
  <c r="AF219" i="1" s="1"/>
  <c r="AD243" i="1"/>
  <c r="AF243" i="1" s="1"/>
  <c r="AD292" i="1"/>
  <c r="AF292" i="1" s="1"/>
  <c r="AD323" i="1"/>
  <c r="AF323" i="1" s="1"/>
  <c r="AD174" i="1"/>
  <c r="AF174" i="1" s="1"/>
  <c r="AD269" i="1"/>
  <c r="AF269" i="1" s="1"/>
  <c r="AD333" i="1"/>
  <c r="AF333" i="1" s="1"/>
  <c r="AD8" i="1"/>
  <c r="AF8" i="1" s="1"/>
  <c r="AD12" i="1"/>
  <c r="AF12" i="1" s="1"/>
  <c r="AD118" i="1"/>
  <c r="AF118" i="1" s="1"/>
  <c r="AD132" i="1"/>
  <c r="AF132" i="1" s="1"/>
  <c r="AD136" i="1"/>
  <c r="AF136" i="1" s="1"/>
  <c r="AD147" i="1"/>
  <c r="AF147" i="1" s="1"/>
  <c r="AD158" i="1"/>
  <c r="AF158" i="1" s="1"/>
  <c r="AD166" i="1"/>
  <c r="AF166" i="1" s="1"/>
  <c r="AD197" i="1"/>
  <c r="AF197" i="1" s="1"/>
  <c r="AD261" i="1"/>
  <c r="AF261" i="1" s="1"/>
  <c r="AD277" i="1"/>
  <c r="AF277" i="1" s="1"/>
  <c r="AD310" i="1"/>
  <c r="AF310" i="1" s="1"/>
  <c r="AD203" i="1"/>
  <c r="AF203" i="1" s="1"/>
  <c r="AD227" i="1"/>
  <c r="AF227" i="1" s="1"/>
  <c r="AD251" i="1"/>
  <c r="AF251" i="1" s="1"/>
  <c r="AD275" i="1"/>
  <c r="AF275" i="1" s="1"/>
  <c r="AD300" i="1"/>
  <c r="AF300" i="1" s="1"/>
  <c r="AD331" i="1"/>
  <c r="AF331" i="1" s="1"/>
  <c r="AD167" i="1"/>
  <c r="AF167" i="1" s="1"/>
  <c r="AD182" i="1"/>
  <c r="AF182" i="1" s="1"/>
  <c r="AD190" i="1"/>
  <c r="AF190" i="1" s="1"/>
  <c r="AD198" i="1"/>
  <c r="AF198" i="1" s="1"/>
  <c r="AD206" i="1"/>
  <c r="AF206" i="1" s="1"/>
  <c r="AD214" i="1"/>
  <c r="AF214" i="1" s="1"/>
  <c r="AD222" i="1"/>
  <c r="AF222" i="1" s="1"/>
  <c r="AD230" i="1"/>
  <c r="AF230" i="1" s="1"/>
  <c r="AD246" i="1"/>
  <c r="AF246" i="1" s="1"/>
  <c r="AD254" i="1"/>
  <c r="AF254" i="1" s="1"/>
  <c r="AD278" i="1"/>
  <c r="AF278" i="1" s="1"/>
  <c r="AD286" i="1"/>
  <c r="AF286" i="1" s="1"/>
  <c r="AD295" i="1"/>
  <c r="AF295" i="1" s="1"/>
  <c r="AD303" i="1"/>
  <c r="AF303" i="1" s="1"/>
  <c r="AD311" i="1"/>
  <c r="AF311" i="1" s="1"/>
  <c r="AD318" i="1"/>
  <c r="AF318" i="1" s="1"/>
  <c r="AD326" i="1"/>
  <c r="AF326" i="1" s="1"/>
  <c r="AD334" i="1"/>
  <c r="AF334" i="1" s="1"/>
  <c r="AD93" i="1"/>
  <c r="AF93" i="1" s="1"/>
  <c r="AD109" i="1"/>
  <c r="AF109" i="1" s="1"/>
  <c r="AD125" i="1"/>
  <c r="AF125" i="1" s="1"/>
  <c r="AD237" i="1"/>
  <c r="AF237" i="1" s="1"/>
  <c r="AD267" i="1"/>
  <c r="AF267" i="1" s="1"/>
  <c r="AD176" i="1"/>
  <c r="AF176" i="1" s="1"/>
  <c r="AD183" i="1"/>
  <c r="AF183" i="1" s="1"/>
  <c r="AD191" i="1"/>
  <c r="AF191" i="1" s="1"/>
  <c r="AD199" i="1"/>
  <c r="AF199" i="1" s="1"/>
  <c r="AD215" i="1"/>
  <c r="AF215" i="1" s="1"/>
  <c r="AD223" i="1"/>
  <c r="AF223" i="1" s="1"/>
  <c r="AD231" i="1"/>
  <c r="AF231" i="1" s="1"/>
  <c r="AD239" i="1"/>
  <c r="AF239" i="1" s="1"/>
  <c r="AD247" i="1"/>
  <c r="AF247" i="1" s="1"/>
  <c r="AD255" i="1"/>
  <c r="AF255" i="1" s="1"/>
  <c r="AD263" i="1"/>
  <c r="AF263" i="1" s="1"/>
  <c r="AD271" i="1"/>
  <c r="AF271" i="1" s="1"/>
  <c r="AD279" i="1"/>
  <c r="AF279" i="1" s="1"/>
  <c r="AD287" i="1"/>
  <c r="AF287" i="1" s="1"/>
  <c r="AD296" i="1"/>
  <c r="AF296" i="1" s="1"/>
  <c r="AD304" i="1"/>
  <c r="AF304" i="1" s="1"/>
  <c r="AD312" i="1"/>
  <c r="AF312" i="1" s="1"/>
  <c r="AD327" i="1"/>
  <c r="AF327" i="1" s="1"/>
  <c r="AD86" i="1"/>
  <c r="AF86" i="1" s="1"/>
  <c r="AD101" i="1"/>
  <c r="AF101" i="1" s="1"/>
  <c r="AD288" i="1"/>
  <c r="AF288" i="1" s="1"/>
  <c r="AD285" i="1"/>
  <c r="AF285" i="1" s="1"/>
  <c r="AD211" i="1"/>
  <c r="AF211" i="1" s="1"/>
  <c r="AD259" i="1"/>
  <c r="AF259" i="1" s="1"/>
  <c r="AD283" i="1"/>
  <c r="AF283" i="1" s="1"/>
  <c r="AD308" i="1"/>
  <c r="AF308" i="1" s="1"/>
  <c r="AD169" i="1"/>
  <c r="AF169" i="1" s="1"/>
  <c r="AD272" i="1"/>
  <c r="AF272" i="1" s="1"/>
  <c r="AD280" i="1"/>
  <c r="AF280" i="1" s="1"/>
  <c r="AD289" i="1"/>
  <c r="AF289" i="1" s="1"/>
  <c r="AD297" i="1"/>
  <c r="AF297" i="1" s="1"/>
  <c r="AD305" i="1"/>
  <c r="AF305" i="1" s="1"/>
  <c r="AD313" i="1"/>
  <c r="AF313" i="1" s="1"/>
  <c r="AD320" i="1"/>
  <c r="AF320" i="1" s="1"/>
  <c r="AD328" i="1"/>
  <c r="AF328" i="1" s="1"/>
  <c r="AD96" i="1"/>
  <c r="AF96" i="1" s="1"/>
  <c r="AD113" i="1"/>
  <c r="AF113" i="1" s="1"/>
  <c r="AD129" i="1"/>
  <c r="AF129" i="1" s="1"/>
  <c r="AD189" i="1"/>
  <c r="AF189" i="1" s="1"/>
  <c r="AD253" i="1"/>
  <c r="AF253" i="1" s="1"/>
  <c r="AD325" i="1"/>
  <c r="AF325" i="1" s="1"/>
  <c r="AD177" i="1"/>
  <c r="AF177" i="1" s="1"/>
  <c r="AD185" i="1"/>
  <c r="AF185" i="1" s="1"/>
  <c r="AD193" i="1"/>
  <c r="AF193" i="1" s="1"/>
  <c r="AD201" i="1"/>
  <c r="AF201" i="1" s="1"/>
  <c r="AD217" i="1"/>
  <c r="AF217" i="1" s="1"/>
  <c r="AD225" i="1"/>
  <c r="AF225" i="1" s="1"/>
  <c r="AD233" i="1"/>
  <c r="AF233" i="1" s="1"/>
  <c r="AD241" i="1"/>
  <c r="AF241" i="1" s="1"/>
  <c r="AD249" i="1"/>
  <c r="AF249" i="1" s="1"/>
  <c r="AD257" i="1"/>
  <c r="AF257" i="1" s="1"/>
  <c r="AD265" i="1"/>
  <c r="AF265" i="1" s="1"/>
  <c r="AD321" i="1"/>
  <c r="AF321" i="1" s="1"/>
  <c r="AD91" i="1"/>
  <c r="AF91" i="1" s="1"/>
  <c r="AD95" i="1"/>
  <c r="AF95" i="1" s="1"/>
  <c r="AD107" i="1"/>
  <c r="AF107" i="1" s="1"/>
  <c r="AD110" i="1"/>
  <c r="AF110" i="1" s="1"/>
  <c r="AD122" i="1"/>
  <c r="AF122" i="1" s="1"/>
  <c r="AD126" i="1"/>
  <c r="AF126" i="1" s="1"/>
  <c r="AD138" i="1"/>
  <c r="AF138" i="1" s="1"/>
  <c r="AD149" i="1"/>
  <c r="AF149" i="1" s="1"/>
  <c r="AD229" i="1"/>
  <c r="AF229" i="1" s="1"/>
  <c r="AD294" i="1"/>
  <c r="AF294" i="1" s="1"/>
  <c r="AD319" i="1"/>
  <c r="AF319" i="1" s="1"/>
  <c r="AD171" i="1"/>
  <c r="AF171" i="1" s="1"/>
  <c r="AD266" i="1"/>
  <c r="AF266" i="1" s="1"/>
  <c r="AD282" i="1"/>
  <c r="AF282" i="1" s="1"/>
  <c r="AD299" i="1"/>
  <c r="AF299" i="1" s="1"/>
  <c r="AD307" i="1"/>
  <c r="AF307" i="1" s="1"/>
  <c r="AD140" i="1"/>
  <c r="AF140" i="1" s="1"/>
  <c r="AD322" i="1"/>
  <c r="AF322" i="1" s="1"/>
  <c r="AD330" i="1"/>
  <c r="AF330" i="1" s="1"/>
  <c r="AD47" i="1"/>
  <c r="AF47" i="1" s="1"/>
  <c r="AD68" i="1"/>
  <c r="AF68" i="1" s="1"/>
  <c r="AD240" i="1"/>
  <c r="AF240" i="1" s="1"/>
  <c r="AD270" i="1"/>
  <c r="AF270" i="1" s="1"/>
  <c r="H334" i="1"/>
  <c r="G334" i="1"/>
  <c r="H333" i="1"/>
  <c r="G333" i="1"/>
  <c r="G135" i="1"/>
  <c r="CR56" i="1"/>
  <c r="DE56" i="1"/>
  <c r="AK56" i="1"/>
  <c r="AC4" i="2"/>
  <c r="AD56" i="1"/>
  <c r="AF56" i="1" s="1"/>
  <c r="AC6" i="2"/>
  <c r="DC100" i="1" l="1"/>
  <c r="DD100" i="1" s="1"/>
  <c r="DA100" i="1"/>
  <c r="DB100" i="1" s="1"/>
  <c r="DC128" i="1"/>
  <c r="DD128" i="1" s="1"/>
  <c r="DA128" i="1"/>
  <c r="DB128" i="1" s="1"/>
  <c r="DC133" i="1"/>
  <c r="DD133" i="1" s="1"/>
  <c r="DA133" i="1"/>
  <c r="DB133" i="1" s="1"/>
  <c r="DC94" i="1"/>
  <c r="DD94" i="1" s="1"/>
  <c r="DA94" i="1"/>
  <c r="DB94" i="1" s="1"/>
  <c r="DC55" i="1"/>
  <c r="DD55" i="1" s="1"/>
  <c r="DA55" i="1"/>
  <c r="DB55" i="1" s="1"/>
  <c r="DO22" i="1"/>
  <c r="DN116" i="1"/>
  <c r="DK44" i="1"/>
  <c r="DL44" i="1" s="1"/>
  <c r="DK22" i="1"/>
  <c r="DL22" i="1" s="1"/>
  <c r="DL7" i="1"/>
  <c r="DM22" i="1"/>
  <c r="DO116" i="1"/>
  <c r="DR50" i="1"/>
  <c r="DM87" i="1"/>
  <c r="DC130" i="1"/>
  <c r="DD130" i="1" s="1"/>
  <c r="DA130" i="1"/>
  <c r="DB130" i="1" s="1"/>
  <c r="DC49" i="1"/>
  <c r="DD49" i="1" s="1"/>
  <c r="DA49" i="1"/>
  <c r="DB49" i="1" s="1"/>
  <c r="DM333" i="1"/>
  <c r="DM166" i="1"/>
  <c r="DK175" i="1"/>
  <c r="DL175" i="1" s="1"/>
  <c r="DP124" i="1"/>
  <c r="DL200" i="1"/>
  <c r="DO238" i="1"/>
  <c r="DM238" i="1"/>
  <c r="DK238" i="1"/>
  <c r="DL238" i="1" s="1"/>
  <c r="DO256" i="1"/>
  <c r="DK89" i="1"/>
  <c r="DR127" i="1"/>
  <c r="DK293" i="1"/>
  <c r="DL293" i="1" s="1"/>
  <c r="DS244" i="1"/>
  <c r="DK256" i="1"/>
  <c r="DL256" i="1" s="1"/>
  <c r="DS89" i="1"/>
  <c r="DK71" i="1"/>
  <c r="DL71" i="1" s="1"/>
  <c r="DL310" i="1"/>
  <c r="DO244" i="1"/>
  <c r="DM89" i="1"/>
  <c r="DQ124" i="1"/>
  <c r="DR136" i="1"/>
  <c r="DS242" i="1"/>
  <c r="DS120" i="1"/>
  <c r="DM85" i="1"/>
  <c r="DO293" i="1"/>
  <c r="DQ27" i="1"/>
  <c r="DM283" i="1"/>
  <c r="DM325" i="1"/>
  <c r="DK332" i="1"/>
  <c r="DL332" i="1" s="1"/>
  <c r="DM304" i="1"/>
  <c r="DO325" i="1"/>
  <c r="DO283" i="1"/>
  <c r="DO332" i="1"/>
  <c r="DL299" i="1"/>
  <c r="DO157" i="1"/>
  <c r="DS157" i="1"/>
  <c r="DL167" i="1"/>
  <c r="DP270" i="1"/>
  <c r="DO261" i="1"/>
  <c r="DR132" i="1"/>
  <c r="DN83" i="1"/>
  <c r="DK103" i="1"/>
  <c r="DL103" i="1" s="1"/>
  <c r="DR242" i="1"/>
  <c r="DR235" i="1"/>
  <c r="DN242" i="1"/>
  <c r="DS299" i="1"/>
  <c r="DL78" i="1"/>
  <c r="DR261" i="1"/>
  <c r="DO242" i="1"/>
  <c r="DQ83" i="1"/>
  <c r="DR297" i="1"/>
  <c r="DP293" i="1"/>
  <c r="DN224" i="1"/>
  <c r="DO165" i="1"/>
  <c r="DP117" i="1"/>
  <c r="DM132" i="1"/>
  <c r="DR83" i="1"/>
  <c r="DM244" i="1"/>
  <c r="DN179" i="1"/>
  <c r="DN117" i="1"/>
  <c r="DO182" i="1"/>
  <c r="DM216" i="1"/>
  <c r="DM293" i="1"/>
  <c r="DP314" i="1"/>
  <c r="DM175" i="1"/>
  <c r="DM314" i="1"/>
  <c r="DP125" i="1"/>
  <c r="DN125" i="1"/>
  <c r="DN269" i="1"/>
  <c r="DC276" i="1"/>
  <c r="DD276" i="1" s="1"/>
  <c r="DP276" i="1" s="1"/>
  <c r="DO189" i="1"/>
  <c r="DO216" i="1"/>
  <c r="DM38" i="1"/>
  <c r="DL35" i="1"/>
  <c r="DS269" i="1"/>
  <c r="DK189" i="1"/>
  <c r="DL189" i="1" s="1"/>
  <c r="DS152" i="1"/>
  <c r="DS182" i="1"/>
  <c r="DK38" i="1"/>
  <c r="DL23" i="1"/>
  <c r="DK269" i="1"/>
  <c r="DL269" i="1" s="1"/>
  <c r="DO108" i="1"/>
  <c r="DK182" i="1"/>
  <c r="DM99" i="1"/>
  <c r="DO25" i="1"/>
  <c r="DM269" i="1"/>
  <c r="DN283" i="1"/>
  <c r="DM182" i="1"/>
  <c r="DQ182" i="1"/>
  <c r="DM313" i="1"/>
  <c r="DN319" i="1"/>
  <c r="DK274" i="1"/>
  <c r="DL274" i="1" s="1"/>
  <c r="DP283" i="1"/>
  <c r="DP157" i="1"/>
  <c r="DK9" i="1"/>
  <c r="DL325" i="1"/>
  <c r="DP235" i="1"/>
  <c r="DT235" i="1" s="1"/>
  <c r="DM90" i="1"/>
  <c r="DS325" i="1"/>
  <c r="DO321" i="1"/>
  <c r="DN182" i="1"/>
  <c r="DN147" i="1"/>
  <c r="DQ308" i="1"/>
  <c r="DP308" i="1"/>
  <c r="DP305" i="1"/>
  <c r="DN305" i="1"/>
  <c r="DL169" i="1"/>
  <c r="DM116" i="1"/>
  <c r="DO320" i="1"/>
  <c r="DM124" i="1"/>
  <c r="DO117" i="1"/>
  <c r="DL152" i="1"/>
  <c r="DO87" i="1"/>
  <c r="DP194" i="1"/>
  <c r="DO152" i="1"/>
  <c r="DS124" i="1"/>
  <c r="DQ99" i="1"/>
  <c r="DK124" i="1"/>
  <c r="DL124" i="1" s="1"/>
  <c r="DK150" i="1"/>
  <c r="DL150" i="1" s="1"/>
  <c r="DK120" i="1"/>
  <c r="DL120" i="1" s="1"/>
  <c r="DK24" i="1"/>
  <c r="DK28" i="1"/>
  <c r="DL28" i="1" s="1"/>
  <c r="DP41" i="1"/>
  <c r="DN90" i="1"/>
  <c r="DM152" i="1"/>
  <c r="DO124" i="1"/>
  <c r="DO150" i="1"/>
  <c r="DM120" i="1"/>
  <c r="DS24" i="1"/>
  <c r="DQ17" i="1"/>
  <c r="DP90" i="1"/>
  <c r="DP88" i="1"/>
  <c r="DK123" i="1"/>
  <c r="G123" i="1" s="1"/>
  <c r="DS7" i="1"/>
  <c r="DP152" i="1"/>
  <c r="DP120" i="1"/>
  <c r="DO107" i="1"/>
  <c r="DO7" i="1"/>
  <c r="DQ81" i="1"/>
  <c r="DN152" i="1"/>
  <c r="DK107" i="1"/>
  <c r="DL107" i="1" s="1"/>
  <c r="DR81" i="1"/>
  <c r="DR88" i="1"/>
  <c r="DK87" i="1"/>
  <c r="DL87" i="1" s="1"/>
  <c r="DN81" i="1"/>
  <c r="DO81" i="1"/>
  <c r="DN331" i="1"/>
  <c r="DP331" i="1"/>
  <c r="DN300" i="1"/>
  <c r="DP300" i="1"/>
  <c r="DP330" i="1"/>
  <c r="DM230" i="1"/>
  <c r="DO85" i="1"/>
  <c r="DQ122" i="1"/>
  <c r="DL182" i="1"/>
  <c r="DP32" i="1"/>
  <c r="DO289" i="1"/>
  <c r="DQ50" i="1"/>
  <c r="DM267" i="1"/>
  <c r="DK230" i="1"/>
  <c r="DL230" i="1" s="1"/>
  <c r="DN58" i="1"/>
  <c r="DQ160" i="1"/>
  <c r="DQ85" i="1"/>
  <c r="DM134" i="1"/>
  <c r="DS230" i="1"/>
  <c r="DN195" i="1"/>
  <c r="DP58" i="1"/>
  <c r="DM58" i="1"/>
  <c r="DK16" i="1"/>
  <c r="DL16" i="1" s="1"/>
  <c r="DP46" i="1"/>
  <c r="DR321" i="1"/>
  <c r="DM305" i="1"/>
  <c r="DS329" i="1"/>
  <c r="DN160" i="1"/>
  <c r="DO58" i="1"/>
  <c r="DS27" i="1"/>
  <c r="DR85" i="1"/>
  <c r="DM181" i="1"/>
  <c r="DK329" i="1"/>
  <c r="DL329" i="1" s="1"/>
  <c r="DP150" i="1"/>
  <c r="DP85" i="1"/>
  <c r="DO50" i="1"/>
  <c r="DK328" i="1"/>
  <c r="DL328" i="1" s="1"/>
  <c r="DM329" i="1"/>
  <c r="DO281" i="1"/>
  <c r="DQ46" i="1"/>
  <c r="DO313" i="1"/>
  <c r="DR103" i="1"/>
  <c r="DN244" i="1"/>
  <c r="DM281" i="1"/>
  <c r="DM150" i="1"/>
  <c r="DN32" i="1"/>
  <c r="DP271" i="1"/>
  <c r="DP160" i="1"/>
  <c r="DM271" i="1"/>
  <c r="DL46" i="1"/>
  <c r="DP43" i="1"/>
  <c r="DK108" i="1"/>
  <c r="DL108" i="1" s="1"/>
  <c r="DP132" i="1"/>
  <c r="DN132" i="1"/>
  <c r="DO115" i="1"/>
  <c r="DP104" i="1"/>
  <c r="DR116" i="1"/>
  <c r="DN43" i="1"/>
  <c r="DQ37" i="1"/>
  <c r="DR122" i="1"/>
  <c r="DR46" i="1"/>
  <c r="DL88" i="1"/>
  <c r="DL27" i="1"/>
  <c r="DM23" i="1"/>
  <c r="DP289" i="1"/>
  <c r="DN289" i="1"/>
  <c r="DQ39" i="1"/>
  <c r="DO39" i="1"/>
  <c r="DM98" i="1"/>
  <c r="DQ145" i="1"/>
  <c r="DO145" i="1"/>
  <c r="DM145" i="1"/>
  <c r="DS247" i="1"/>
  <c r="DK247" i="1"/>
  <c r="DL247" i="1" s="1"/>
  <c r="DM186" i="1"/>
  <c r="DK117" i="1"/>
  <c r="DL117" i="1" s="1"/>
  <c r="DN308" i="1"/>
  <c r="DK308" i="1"/>
  <c r="DL308" i="1" s="1"/>
  <c r="DO310" i="1"/>
  <c r="DK304" i="1"/>
  <c r="DL304" i="1" s="1"/>
  <c r="DT304" i="1" s="1"/>
  <c r="DS223" i="1"/>
  <c r="DO186" i="1"/>
  <c r="DS240" i="1"/>
  <c r="DT240" i="1" s="1"/>
  <c r="DP129" i="1"/>
  <c r="DK66" i="1"/>
  <c r="DL66" i="1" s="1"/>
  <c r="DS117" i="1"/>
  <c r="DM25" i="1"/>
  <c r="DR99" i="1"/>
  <c r="DQ115" i="1"/>
  <c r="DO17" i="1"/>
  <c r="DN63" i="1"/>
  <c r="DM249" i="1"/>
  <c r="DR115" i="1"/>
  <c r="DN37" i="1"/>
  <c r="DM27" i="1"/>
  <c r="DM308" i="1"/>
  <c r="DP310" i="1"/>
  <c r="DK223" i="1"/>
  <c r="DL223" i="1" s="1"/>
  <c r="DK177" i="1"/>
  <c r="DL177" i="1" s="1"/>
  <c r="DP184" i="1"/>
  <c r="DO181" i="1"/>
  <c r="DK115" i="1"/>
  <c r="DL115" i="1" s="1"/>
  <c r="DK125" i="1"/>
  <c r="DL125" i="1" s="1"/>
  <c r="DM122" i="1"/>
  <c r="DM117" i="1"/>
  <c r="DS50" i="1"/>
  <c r="DM30" i="1"/>
  <c r="DS25" i="1"/>
  <c r="DR308" i="1"/>
  <c r="DP127" i="1"/>
  <c r="DR30" i="1"/>
  <c r="DR58" i="1"/>
  <c r="DP261" i="1"/>
  <c r="DM310" i="1"/>
  <c r="DS320" i="1"/>
  <c r="DO308" i="1"/>
  <c r="DQ310" i="1"/>
  <c r="DS267" i="1"/>
  <c r="DN115" i="1"/>
  <c r="DK181" i="1"/>
  <c r="DL181" i="1" s="1"/>
  <c r="DS115" i="1"/>
  <c r="DS104" i="1"/>
  <c r="DM125" i="1"/>
  <c r="DO122" i="1"/>
  <c r="DO99" i="1"/>
  <c r="DO21" i="1"/>
  <c r="DM320" i="1"/>
  <c r="DN299" i="1"/>
  <c r="DM247" i="1"/>
  <c r="DP263" i="1"/>
  <c r="DN181" i="1"/>
  <c r="DK127" i="1"/>
  <c r="DL127" i="1" s="1"/>
  <c r="DS181" i="1"/>
  <c r="DP30" i="1"/>
  <c r="DO125" i="1"/>
  <c r="DP203" i="1"/>
  <c r="DL32" i="1"/>
  <c r="DO37" i="1"/>
  <c r="DO30" i="1"/>
  <c r="DK17" i="1"/>
  <c r="DL17" i="1" s="1"/>
  <c r="DO314" i="1"/>
  <c r="DS289" i="1"/>
  <c r="DK248" i="1"/>
  <c r="DL248" i="1" s="1"/>
  <c r="DO127" i="1"/>
  <c r="DP99" i="1"/>
  <c r="DN30" i="1"/>
  <c r="DM157" i="1"/>
  <c r="DK99" i="1"/>
  <c r="DL99" i="1" s="1"/>
  <c r="DL58" i="1"/>
  <c r="DK21" i="1"/>
  <c r="DL21" i="1" s="1"/>
  <c r="DO27" i="1"/>
  <c r="DM17" i="1"/>
  <c r="DQ200" i="1"/>
  <c r="DN252" i="1"/>
  <c r="DT252" i="1" s="1"/>
  <c r="DN261" i="1"/>
  <c r="DR310" i="1"/>
  <c r="DN317" i="1"/>
  <c r="DP249" i="1"/>
  <c r="DM282" i="1"/>
  <c r="DS249" i="1"/>
  <c r="DN156" i="1"/>
  <c r="DN122" i="1"/>
  <c r="DL123" i="1"/>
  <c r="H123" i="1" s="1"/>
  <c r="DS88" i="1"/>
  <c r="DQ127" i="1"/>
  <c r="DO9" i="1"/>
  <c r="DM297" i="1"/>
  <c r="DO200" i="1"/>
  <c r="DM63" i="1"/>
  <c r="DL317" i="1"/>
  <c r="DM261" i="1"/>
  <c r="DM147" i="1"/>
  <c r="DL37" i="1"/>
  <c r="DN222" i="1"/>
  <c r="DQ222" i="1"/>
  <c r="DM222" i="1"/>
  <c r="DQ66" i="1"/>
  <c r="DR66" i="1"/>
  <c r="DM66" i="1"/>
  <c r="DO66" i="1"/>
  <c r="DP66" i="1"/>
  <c r="DN66" i="1"/>
  <c r="DQ291" i="1"/>
  <c r="DR291" i="1"/>
  <c r="DM291" i="1"/>
  <c r="DN291" i="1"/>
  <c r="DM92" i="1"/>
  <c r="DN92" i="1"/>
  <c r="DP92" i="1"/>
  <c r="DM264" i="1"/>
  <c r="DO264" i="1"/>
  <c r="DQ264" i="1"/>
  <c r="DN62" i="1"/>
  <c r="DM62" i="1"/>
  <c r="DP62" i="1"/>
  <c r="DQ292" i="1"/>
  <c r="DO292" i="1"/>
  <c r="DM292" i="1"/>
  <c r="DP274" i="1"/>
  <c r="DN248" i="1"/>
  <c r="DM248" i="1"/>
  <c r="DN167" i="1"/>
  <c r="DS200" i="1"/>
  <c r="DN143" i="1"/>
  <c r="DO70" i="1"/>
  <c r="DK147" i="1"/>
  <c r="DL147" i="1" s="1"/>
  <c r="DM143" i="1"/>
  <c r="DS37" i="1"/>
  <c r="DO88" i="1"/>
  <c r="DP24" i="1"/>
  <c r="DS23" i="1"/>
  <c r="DL291" i="1"/>
  <c r="DM127" i="1"/>
  <c r="DO147" i="1"/>
  <c r="DP21" i="1"/>
  <c r="DK305" i="1"/>
  <c r="DL305" i="1" s="1"/>
  <c r="DM242" i="1"/>
  <c r="DO132" i="1"/>
  <c r="DO160" i="1"/>
  <c r="DO103" i="1"/>
  <c r="DM70" i="1"/>
  <c r="DS317" i="1"/>
  <c r="DS271" i="1"/>
  <c r="DO247" i="1"/>
  <c r="DM200" i="1"/>
  <c r="DS134" i="1"/>
  <c r="DS147" i="1"/>
  <c r="DK143" i="1"/>
  <c r="DL143" i="1" s="1"/>
  <c r="DN103" i="1"/>
  <c r="DM24" i="1"/>
  <c r="DM37" i="1"/>
  <c r="DR118" i="1"/>
  <c r="DP312" i="1"/>
  <c r="DM317" i="1"/>
  <c r="DS300" i="1"/>
  <c r="DM307" i="1"/>
  <c r="DK134" i="1"/>
  <c r="DL134" i="1" s="1"/>
  <c r="DP91" i="1"/>
  <c r="DS143" i="1"/>
  <c r="DP103" i="1"/>
  <c r="DL9" i="1"/>
  <c r="DQ21" i="1"/>
  <c r="DO185" i="1"/>
  <c r="DL85" i="1"/>
  <c r="DO317" i="1"/>
  <c r="DK300" i="1"/>
  <c r="DL300" i="1" s="1"/>
  <c r="DO249" i="1"/>
  <c r="DN237" i="1"/>
  <c r="DM201" i="1"/>
  <c r="DM185" i="1"/>
  <c r="DP118" i="1"/>
  <c r="DQ103" i="1"/>
  <c r="DN21" i="1"/>
  <c r="DM33" i="1"/>
  <c r="DM115" i="1"/>
  <c r="DN50" i="1"/>
  <c r="DL116" i="1"/>
  <c r="DM300" i="1"/>
  <c r="DM260" i="1"/>
  <c r="DK261" i="1"/>
  <c r="DL261" i="1" s="1"/>
  <c r="DM80" i="1"/>
  <c r="DR28" i="1"/>
  <c r="DN80" i="1"/>
  <c r="DK63" i="1"/>
  <c r="DL63" i="1" s="1"/>
  <c r="DM21" i="1"/>
  <c r="DK33" i="1"/>
  <c r="DL33" i="1" s="1"/>
  <c r="DM289" i="1"/>
  <c r="DN307" i="1"/>
  <c r="DN260" i="1"/>
  <c r="DM274" i="1"/>
  <c r="DN249" i="1"/>
  <c r="DS261" i="1"/>
  <c r="DM189" i="1"/>
  <c r="DN189" i="1"/>
  <c r="DL89" i="1"/>
  <c r="DQ28" i="1"/>
  <c r="DM88" i="1"/>
  <c r="DS63" i="1"/>
  <c r="DO33" i="1"/>
  <c r="DN330" i="1"/>
  <c r="DM321" i="1"/>
  <c r="DT321" i="1" s="1"/>
  <c r="DN28" i="1"/>
  <c r="DQ150" i="1"/>
  <c r="DN145" i="1"/>
  <c r="DP27" i="1"/>
  <c r="DS41" i="1"/>
  <c r="DO41" i="1"/>
  <c r="DK41" i="1"/>
  <c r="DL41" i="1" s="1"/>
  <c r="DM41" i="1"/>
  <c r="DK43" i="1"/>
  <c r="DL43" i="1" s="1"/>
  <c r="DS43" i="1"/>
  <c r="DN44" i="1"/>
  <c r="DM44" i="1"/>
  <c r="DM7" i="1"/>
  <c r="DP7" i="1"/>
  <c r="DN7" i="1"/>
  <c r="DN71" i="1"/>
  <c r="DP71" i="1"/>
  <c r="DO71" i="1"/>
  <c r="DR71" i="1"/>
  <c r="DM71" i="1"/>
  <c r="DP256" i="1"/>
  <c r="DQ78" i="1"/>
  <c r="DN78" i="1"/>
  <c r="DO78" i="1"/>
  <c r="DR78" i="1"/>
  <c r="DO16" i="1"/>
  <c r="DQ16" i="1"/>
  <c r="DR16" i="1"/>
  <c r="DN16" i="1"/>
  <c r="DP16" i="1"/>
  <c r="DA295" i="1"/>
  <c r="DB295" i="1" s="1"/>
  <c r="DC295" i="1"/>
  <c r="DD295" i="1" s="1"/>
  <c r="DP295" i="1" s="1"/>
  <c r="DO54" i="1"/>
  <c r="DS54" i="1"/>
  <c r="DM256" i="1"/>
  <c r="DQ177" i="1"/>
  <c r="DN177" i="1"/>
  <c r="DM177" i="1"/>
  <c r="DR309" i="1"/>
  <c r="DP266" i="1"/>
  <c r="DN277" i="1"/>
  <c r="DP277" i="1"/>
  <c r="DK54" i="1"/>
  <c r="DL54" i="1" s="1"/>
  <c r="DN134" i="1"/>
  <c r="DM16" i="1"/>
  <c r="DK80" i="1"/>
  <c r="DL80" i="1" s="1"/>
  <c r="DS80" i="1"/>
  <c r="DQ38" i="1"/>
  <c r="DO38" i="1"/>
  <c r="DP38" i="1"/>
  <c r="DN20" i="1"/>
  <c r="DQ20" i="1"/>
  <c r="DO84" i="1"/>
  <c r="DO104" i="1"/>
  <c r="DM104" i="1"/>
  <c r="DQ237" i="1"/>
  <c r="DP237" i="1"/>
  <c r="DC197" i="1"/>
  <c r="DD197" i="1" s="1"/>
  <c r="DA197" i="1"/>
  <c r="DB197" i="1" s="1"/>
  <c r="DP166" i="1"/>
  <c r="DN166" i="1"/>
  <c r="DQ22" i="1"/>
  <c r="DP22" i="1"/>
  <c r="DP291" i="1"/>
  <c r="DO291" i="1"/>
  <c r="DC138" i="1"/>
  <c r="DD138" i="1" s="1"/>
  <c r="DP138" i="1" s="1"/>
  <c r="DA138" i="1"/>
  <c r="DB138" i="1" s="1"/>
  <c r="DQ87" i="1"/>
  <c r="DN87" i="1"/>
  <c r="DQ123" i="1"/>
  <c r="DM123" i="1"/>
  <c r="DP123" i="1"/>
  <c r="DO123" i="1"/>
  <c r="DM39" i="1"/>
  <c r="DS39" i="1"/>
  <c r="DK39" i="1"/>
  <c r="DL39" i="1" s="1"/>
  <c r="DN126" i="1"/>
  <c r="DR126" i="1"/>
  <c r="DQ126" i="1"/>
  <c r="DP126" i="1"/>
  <c r="DN312" i="1"/>
  <c r="DN301" i="1"/>
  <c r="DP286" i="1"/>
  <c r="DN286" i="1"/>
  <c r="DP245" i="1"/>
  <c r="DO177" i="1"/>
  <c r="DM78" i="1"/>
  <c r="DM54" i="1"/>
  <c r="DR134" i="1"/>
  <c r="DP134" i="1"/>
  <c r="DM18" i="1"/>
  <c r="DM103" i="1"/>
  <c r="DA225" i="1"/>
  <c r="DB225" i="1" s="1"/>
  <c r="DC225" i="1"/>
  <c r="DD225" i="1" s="1"/>
  <c r="DQ225" i="1" s="1"/>
  <c r="DM170" i="1"/>
  <c r="DS170" i="1"/>
  <c r="DC212" i="1"/>
  <c r="DD212" i="1" s="1"/>
  <c r="DA212" i="1"/>
  <c r="DB212" i="1" s="1"/>
  <c r="DP44" i="1"/>
  <c r="DN108" i="1"/>
  <c r="DQ108" i="1"/>
  <c r="DP108" i="1"/>
  <c r="DM108" i="1"/>
  <c r="DR108" i="1"/>
  <c r="DQ9" i="1"/>
  <c r="DP9" i="1"/>
  <c r="DN9" i="1"/>
  <c r="DR9" i="1"/>
  <c r="DM9" i="1"/>
  <c r="DO35" i="1"/>
  <c r="DS35" i="1"/>
  <c r="DC265" i="1"/>
  <c r="DD265" i="1" s="1"/>
  <c r="DN265" i="1" s="1"/>
  <c r="DA265" i="1"/>
  <c r="DB265" i="1" s="1"/>
  <c r="DO32" i="1"/>
  <c r="DM32" i="1"/>
  <c r="DS32" i="1"/>
  <c r="DO297" i="1"/>
  <c r="DP281" i="1"/>
  <c r="DN259" i="1"/>
  <c r="DP259" i="1"/>
  <c r="DP238" i="1"/>
  <c r="DP139" i="1"/>
  <c r="DO18" i="1"/>
  <c r="DP87" i="1"/>
  <c r="DO222" i="1"/>
  <c r="DK222" i="1"/>
  <c r="DL222" i="1" s="1"/>
  <c r="DQ175" i="1"/>
  <c r="DP175" i="1"/>
  <c r="DO175" i="1"/>
  <c r="DO267" i="1"/>
  <c r="DQ267" i="1"/>
  <c r="DO156" i="1"/>
  <c r="DM156" i="1"/>
  <c r="DK156" i="1"/>
  <c r="DL156" i="1" s="1"/>
  <c r="DC161" i="1"/>
  <c r="DD161" i="1" s="1"/>
  <c r="DN161" i="1" s="1"/>
  <c r="DA161" i="1"/>
  <c r="DB161" i="1" s="1"/>
  <c r="DM50" i="1"/>
  <c r="DK50" i="1"/>
  <c r="DP107" i="1"/>
  <c r="DN107" i="1"/>
  <c r="DM107" i="1"/>
  <c r="DN223" i="1"/>
  <c r="DP223" i="1"/>
  <c r="DM223" i="1"/>
  <c r="DS90" i="1"/>
  <c r="DO90" i="1"/>
  <c r="DK90" i="1"/>
  <c r="DL90" i="1" s="1"/>
  <c r="DA208" i="1"/>
  <c r="DB208" i="1" s="1"/>
  <c r="DC208" i="1"/>
  <c r="DD208" i="1" s="1"/>
  <c r="DP208" i="1" s="1"/>
  <c r="DM332" i="1"/>
  <c r="DS314" i="1"/>
  <c r="DS297" i="1"/>
  <c r="DP247" i="1"/>
  <c r="DN298" i="1"/>
  <c r="DO282" i="1"/>
  <c r="DR279" i="1"/>
  <c r="DO134" i="1"/>
  <c r="DL122" i="1"/>
  <c r="DO28" i="1"/>
  <c r="DM28" i="1"/>
  <c r="DO276" i="1"/>
  <c r="DK276" i="1"/>
  <c r="DL276" i="1" s="1"/>
  <c r="DQ207" i="1"/>
  <c r="DR207" i="1"/>
  <c r="DN171" i="1"/>
  <c r="DP171" i="1"/>
  <c r="DQ35" i="1"/>
  <c r="DN35" i="1"/>
  <c r="DP35" i="1"/>
  <c r="DN296" i="1"/>
  <c r="DN258" i="1"/>
  <c r="DT333" i="1"/>
  <c r="DK314" i="1"/>
  <c r="DL314" i="1" s="1"/>
  <c r="DP309" i="1"/>
  <c r="DN279" i="1"/>
  <c r="DN251" i="1"/>
  <c r="DN207" i="1"/>
  <c r="DM43" i="1"/>
  <c r="DM35" i="1"/>
  <c r="DQ71" i="1"/>
  <c r="DR17" i="1"/>
  <c r="DP17" i="1"/>
  <c r="DO167" i="1"/>
  <c r="DQ167" i="1"/>
  <c r="DM167" i="1"/>
  <c r="DP167" i="1"/>
  <c r="DQ84" i="1"/>
  <c r="DM84" i="1"/>
  <c r="DC243" i="1"/>
  <c r="DD243" i="1" s="1"/>
  <c r="DA243" i="1"/>
  <c r="DB243" i="1" s="1"/>
  <c r="DC67" i="1"/>
  <c r="DD67" i="1" s="1"/>
  <c r="DP67" i="1" s="1"/>
  <c r="DA67" i="1"/>
  <c r="DB67" i="1" s="1"/>
  <c r="DS216" i="1"/>
  <c r="DK216" i="1"/>
  <c r="DL216" i="1" s="1"/>
  <c r="DS139" i="1"/>
  <c r="DO139" i="1"/>
  <c r="DM139" i="1"/>
  <c r="DK139" i="1"/>
  <c r="DL139" i="1" s="1"/>
  <c r="DC95" i="1"/>
  <c r="DD95" i="1" s="1"/>
  <c r="DA95" i="1"/>
  <c r="DB95" i="1" s="1"/>
  <c r="DP177" i="1"/>
  <c r="DO271" i="1"/>
  <c r="DK271" i="1"/>
  <c r="DL271" i="1" s="1"/>
  <c r="DM81" i="1"/>
  <c r="DS81" i="1"/>
  <c r="DK81" i="1"/>
  <c r="DL81" i="1" s="1"/>
  <c r="DS92" i="1"/>
  <c r="DO92" i="1"/>
  <c r="DK92" i="1"/>
  <c r="DL92" i="1" s="1"/>
  <c r="DM299" i="1"/>
  <c r="DP279" i="1"/>
  <c r="DN193" i="1"/>
  <c r="DP193" i="1"/>
  <c r="DO43" i="1"/>
  <c r="DP78" i="1"/>
  <c r="DR222" i="1"/>
  <c r="DP222" i="1"/>
  <c r="DN54" i="1"/>
  <c r="DP54" i="1"/>
  <c r="DM20" i="1"/>
  <c r="DK20" i="1"/>
  <c r="DL20" i="1" s="1"/>
  <c r="DO20" i="1"/>
  <c r="DP302" i="1"/>
  <c r="DN302" i="1"/>
  <c r="DP174" i="1"/>
  <c r="DM174" i="1"/>
  <c r="DA8" i="1"/>
  <c r="DB8" i="1" s="1"/>
  <c r="DC8" i="1"/>
  <c r="DD8" i="1" s="1"/>
  <c r="DP8" i="1" s="1"/>
  <c r="DN23" i="1"/>
  <c r="DO23" i="1"/>
  <c r="DP23" i="1"/>
  <c r="DR23" i="1"/>
  <c r="DO46" i="1"/>
  <c r="DM46" i="1"/>
  <c r="DA119" i="1"/>
  <c r="DB119" i="1" s="1"/>
  <c r="DC119" i="1"/>
  <c r="DD119" i="1" s="1"/>
  <c r="DP119" i="1" s="1"/>
  <c r="DA196" i="1"/>
  <c r="DB196" i="1" s="1"/>
  <c r="DC196" i="1"/>
  <c r="DD196" i="1" s="1"/>
  <c r="DN196" i="1" s="1"/>
  <c r="DC73" i="1"/>
  <c r="DD73" i="1" s="1"/>
  <c r="DA73" i="1"/>
  <c r="DB73" i="1" s="1"/>
  <c r="DA272" i="1"/>
  <c r="DB272" i="1" s="1"/>
  <c r="DC272" i="1"/>
  <c r="DD272" i="1" s="1"/>
  <c r="DN272" i="1" s="1"/>
  <c r="DC76" i="1"/>
  <c r="DD76" i="1" s="1"/>
  <c r="DA76" i="1"/>
  <c r="DB76" i="1" s="1"/>
  <c r="DC204" i="1"/>
  <c r="DD204" i="1" s="1"/>
  <c r="DA204" i="1"/>
  <c r="DB204" i="1" s="1"/>
  <c r="DP201" i="1"/>
  <c r="DP200" i="1"/>
  <c r="DK160" i="1"/>
  <c r="DL160" i="1" s="1"/>
  <c r="DP288" i="1"/>
  <c r="DA257" i="1"/>
  <c r="DB257" i="1" s="1"/>
  <c r="DC257" i="1"/>
  <c r="DD257" i="1" s="1"/>
  <c r="DP257" i="1" s="1"/>
  <c r="DP116" i="1"/>
  <c r="DC40" i="1"/>
  <c r="DD40" i="1" s="1"/>
  <c r="DA40" i="1"/>
  <c r="DB40" i="1" s="1"/>
  <c r="DC253" i="1"/>
  <c r="DD253" i="1" s="1"/>
  <c r="DN253" i="1" s="1"/>
  <c r="DA253" i="1"/>
  <c r="DB253" i="1" s="1"/>
  <c r="DN118" i="1"/>
  <c r="DC178" i="1"/>
  <c r="DD178" i="1" s="1"/>
  <c r="DA178" i="1"/>
  <c r="DB178" i="1" s="1"/>
  <c r="DA239" i="1"/>
  <c r="DB239" i="1" s="1"/>
  <c r="DC239" i="1"/>
  <c r="DD239" i="1" s="1"/>
  <c r="DR145" i="1"/>
  <c r="DP218" i="1"/>
  <c r="DM160" i="1"/>
  <c r="DL145" i="1"/>
  <c r="DC48" i="1"/>
  <c r="DD48" i="1" s="1"/>
  <c r="DA48" i="1"/>
  <c r="DB48" i="1" s="1"/>
  <c r="DC144" i="1"/>
  <c r="DD144" i="1" s="1"/>
  <c r="DA144" i="1"/>
  <c r="DB144" i="1" s="1"/>
  <c r="DO98" i="1"/>
  <c r="DC79" i="1"/>
  <c r="DD79" i="1" s="1"/>
  <c r="DP79" i="1" s="1"/>
  <c r="DA79" i="1"/>
  <c r="DB79" i="1" s="1"/>
  <c r="DC285" i="1"/>
  <c r="DD285" i="1" s="1"/>
  <c r="DP285" i="1" s="1"/>
  <c r="DA285" i="1"/>
  <c r="DB285" i="1" s="1"/>
  <c r="DC213" i="1"/>
  <c r="DD213" i="1" s="1"/>
  <c r="DA213" i="1"/>
  <c r="DB213" i="1" s="1"/>
  <c r="DA231" i="1"/>
  <c r="DB231" i="1" s="1"/>
  <c r="DC231" i="1"/>
  <c r="DD231" i="1" s="1"/>
  <c r="DC149" i="1"/>
  <c r="DD149" i="1" s="1"/>
  <c r="DA149" i="1"/>
  <c r="DB149" i="1" s="1"/>
  <c r="DA112" i="1"/>
  <c r="DB112" i="1" s="1"/>
  <c r="DC112" i="1"/>
  <c r="DD112" i="1" s="1"/>
  <c r="DC75" i="1"/>
  <c r="DD75" i="1" s="1"/>
  <c r="DA75" i="1"/>
  <c r="DB75" i="1" s="1"/>
  <c r="DC72" i="1"/>
  <c r="DD72" i="1" s="1"/>
  <c r="DQ72" i="1" s="1"/>
  <c r="DA72" i="1"/>
  <c r="DB72" i="1" s="1"/>
  <c r="DA227" i="1"/>
  <c r="DB227" i="1" s="1"/>
  <c r="DC227" i="1"/>
  <c r="DD227" i="1" s="1"/>
  <c r="DP227" i="1" s="1"/>
  <c r="DA232" i="1"/>
  <c r="DB232" i="1" s="1"/>
  <c r="DC232" i="1"/>
  <c r="DD232" i="1" s="1"/>
  <c r="DC192" i="1"/>
  <c r="DD192" i="1" s="1"/>
  <c r="DN192" i="1" s="1"/>
  <c r="DA192" i="1"/>
  <c r="DB192" i="1" s="1"/>
  <c r="DC113" i="1"/>
  <c r="DD113" i="1" s="1"/>
  <c r="DA113" i="1"/>
  <c r="DB113" i="1" s="1"/>
  <c r="DC12" i="1"/>
  <c r="DD12" i="1" s="1"/>
  <c r="DA12" i="1"/>
  <c r="DB12" i="1" s="1"/>
  <c r="DK12" i="1" s="1"/>
  <c r="DL12" i="1" s="1"/>
  <c r="H12" i="1" s="1"/>
  <c r="DC68" i="1"/>
  <c r="DD68" i="1" s="1"/>
  <c r="DA68" i="1"/>
  <c r="DB68" i="1" s="1"/>
  <c r="DP192" i="1"/>
  <c r="DA284" i="1"/>
  <c r="DB284" i="1" s="1"/>
  <c r="DC284" i="1"/>
  <c r="DD284" i="1" s="1"/>
  <c r="DN284" i="1" s="1"/>
  <c r="DP39" i="1"/>
  <c r="DL30" i="1"/>
  <c r="DA273" i="1"/>
  <c r="DB273" i="1" s="1"/>
  <c r="DC273" i="1"/>
  <c r="DD273" i="1" s="1"/>
  <c r="DC51" i="1"/>
  <c r="DD51" i="1" s="1"/>
  <c r="DA51" i="1"/>
  <c r="DB51" i="1" s="1"/>
  <c r="DN39" i="1"/>
  <c r="DA219" i="1"/>
  <c r="DB219" i="1" s="1"/>
  <c r="DC219" i="1"/>
  <c r="DD219" i="1" s="1"/>
  <c r="DC93" i="1"/>
  <c r="DD93" i="1" s="1"/>
  <c r="DA93" i="1"/>
  <c r="DB93" i="1" s="1"/>
  <c r="DA205" i="1"/>
  <c r="DB205" i="1" s="1"/>
  <c r="DC205" i="1"/>
  <c r="DD205" i="1" s="1"/>
  <c r="DC59" i="1"/>
  <c r="DD59" i="1" s="1"/>
  <c r="DA59" i="1"/>
  <c r="DB59" i="1" s="1"/>
  <c r="DP170" i="1"/>
  <c r="DC13" i="1"/>
  <c r="DD13" i="1" s="1"/>
  <c r="DA13" i="1"/>
  <c r="DB13" i="1" s="1"/>
  <c r="DC209" i="1"/>
  <c r="DD209" i="1" s="1"/>
  <c r="DA209" i="1"/>
  <c r="DB209" i="1" s="1"/>
  <c r="DC311" i="1"/>
  <c r="DD311" i="1" s="1"/>
  <c r="DA311" i="1"/>
  <c r="DB311" i="1" s="1"/>
  <c r="DA190" i="1"/>
  <c r="DB190" i="1" s="1"/>
  <c r="DC190" i="1"/>
  <c r="DD190" i="1" s="1"/>
  <c r="DC96" i="1"/>
  <c r="DD96" i="1" s="1"/>
  <c r="DA96" i="1"/>
  <c r="DB96" i="1" s="1"/>
  <c r="DA47" i="1"/>
  <c r="DB47" i="1" s="1"/>
  <c r="DC47" i="1"/>
  <c r="DD47" i="1" s="1"/>
  <c r="DO305" i="1"/>
  <c r="DP145" i="1"/>
  <c r="DQ140" i="1"/>
  <c r="DP140" i="1"/>
  <c r="DS266" i="1"/>
  <c r="DO266" i="1"/>
  <c r="DK266" i="1"/>
  <c r="DL266" i="1" s="1"/>
  <c r="DM266" i="1"/>
  <c r="DO236" i="1"/>
  <c r="DM236" i="1"/>
  <c r="DS236" i="1"/>
  <c r="DS164" i="1"/>
  <c r="DO164" i="1"/>
  <c r="DM164" i="1"/>
  <c r="DK164" i="1"/>
  <c r="DL164" i="1" s="1"/>
  <c r="DM126" i="1"/>
  <c r="DK126" i="1"/>
  <c r="DL126" i="1" s="1"/>
  <c r="DS126" i="1"/>
  <c r="DO126" i="1"/>
  <c r="DQ6" i="1"/>
  <c r="DR6" i="1"/>
  <c r="DN6" i="1"/>
  <c r="DO135" i="1"/>
  <c r="DS135" i="1"/>
  <c r="DM135" i="1"/>
  <c r="DQ42" i="1"/>
  <c r="DR42" i="1"/>
  <c r="DN42" i="1"/>
  <c r="DO322" i="1"/>
  <c r="DS322" i="1"/>
  <c r="DK322" i="1"/>
  <c r="DL322" i="1" s="1"/>
  <c r="DM322" i="1"/>
  <c r="DO287" i="1"/>
  <c r="DM287" i="1"/>
  <c r="DS287" i="1"/>
  <c r="DK229" i="1"/>
  <c r="DL229" i="1" s="1"/>
  <c r="DS229" i="1"/>
  <c r="DM229" i="1"/>
  <c r="DO229" i="1"/>
  <c r="DS180" i="1"/>
  <c r="DK180" i="1"/>
  <c r="DL180" i="1" s="1"/>
  <c r="DO180" i="1"/>
  <c r="DM180" i="1"/>
  <c r="DK131" i="1"/>
  <c r="DL131" i="1" s="1"/>
  <c r="DS131" i="1"/>
  <c r="DO131" i="1"/>
  <c r="DM131" i="1"/>
  <c r="DS315" i="1"/>
  <c r="DK315" i="1"/>
  <c r="DL315" i="1" s="1"/>
  <c r="DO315" i="1"/>
  <c r="DM315" i="1"/>
  <c r="DS241" i="1"/>
  <c r="DO241" i="1"/>
  <c r="DM241" i="1"/>
  <c r="DK241" i="1"/>
  <c r="DL241" i="1" s="1"/>
  <c r="DP246" i="1"/>
  <c r="DR183" i="1"/>
  <c r="DQ183" i="1"/>
  <c r="DS137" i="1"/>
  <c r="DK137" i="1"/>
  <c r="DL137" i="1" s="1"/>
  <c r="DO137" i="1"/>
  <c r="DM137" i="1"/>
  <c r="DS288" i="1"/>
  <c r="DK288" i="1"/>
  <c r="DL288" i="1" s="1"/>
  <c r="DO288" i="1"/>
  <c r="DM288" i="1"/>
  <c r="DR86" i="1"/>
  <c r="DQ86" i="1"/>
  <c r="DN86" i="1"/>
  <c r="DR315" i="1"/>
  <c r="DQ315" i="1"/>
  <c r="DO140" i="1"/>
  <c r="DM140" i="1"/>
  <c r="DK140" i="1"/>
  <c r="DL140" i="1" s="1"/>
  <c r="DS140" i="1"/>
  <c r="DN294" i="1"/>
  <c r="DO206" i="1"/>
  <c r="DM206" i="1"/>
  <c r="DS206" i="1"/>
  <c r="DK206" i="1"/>
  <c r="DL206" i="1" s="1"/>
  <c r="DS65" i="1"/>
  <c r="DO65" i="1"/>
  <c r="DM65" i="1"/>
  <c r="DS42" i="1"/>
  <c r="DK42" i="1"/>
  <c r="DL42" i="1" s="1"/>
  <c r="DO42" i="1"/>
  <c r="DM42" i="1"/>
  <c r="DS97" i="1"/>
  <c r="DK97" i="1"/>
  <c r="DL97" i="1" s="1"/>
  <c r="DO97" i="1"/>
  <c r="DM97" i="1"/>
  <c r="DR74" i="1"/>
  <c r="DQ74" i="1"/>
  <c r="DS83" i="1"/>
  <c r="DK83" i="1"/>
  <c r="DL83" i="1" s="1"/>
  <c r="DO83" i="1"/>
  <c r="DM83" i="1"/>
  <c r="DS203" i="1"/>
  <c r="DK203" i="1"/>
  <c r="DL203" i="1" s="1"/>
  <c r="DM203" i="1"/>
  <c r="DO203" i="1"/>
  <c r="DQ106" i="1"/>
  <c r="DR106" i="1"/>
  <c r="DQ52" i="1"/>
  <c r="DN52" i="1"/>
  <c r="DR52" i="1"/>
  <c r="DP316" i="1"/>
  <c r="DS334" i="1"/>
  <c r="DO334" i="1"/>
  <c r="DM334" i="1"/>
  <c r="DN315" i="1"/>
  <c r="DP328" i="1"/>
  <c r="DN309" i="1"/>
  <c r="DN281" i="1"/>
  <c r="DS259" i="1"/>
  <c r="DK259" i="1"/>
  <c r="DL259" i="1" s="1"/>
  <c r="DO259" i="1"/>
  <c r="DM259" i="1"/>
  <c r="DN278" i="1"/>
  <c r="DO262" i="1"/>
  <c r="DS262" i="1"/>
  <c r="DM262" i="1"/>
  <c r="DK262" i="1"/>
  <c r="DL262" i="1" s="1"/>
  <c r="DQ199" i="1"/>
  <c r="DP199" i="1"/>
  <c r="DK217" i="1"/>
  <c r="DL217" i="1" s="1"/>
  <c r="DS217" i="1"/>
  <c r="DO217" i="1"/>
  <c r="DM217" i="1"/>
  <c r="DN221" i="1"/>
  <c r="DP210" i="1"/>
  <c r="DO176" i="1"/>
  <c r="DS176" i="1"/>
  <c r="DM176" i="1"/>
  <c r="DK176" i="1"/>
  <c r="DL176" i="1" s="1"/>
  <c r="DO162" i="1"/>
  <c r="DM162" i="1"/>
  <c r="DK162" i="1"/>
  <c r="DL162" i="1" s="1"/>
  <c r="DS162" i="1"/>
  <c r="DS159" i="1"/>
  <c r="DO159" i="1"/>
  <c r="DM159" i="1"/>
  <c r="DK159" i="1"/>
  <c r="DL159" i="1" s="1"/>
  <c r="DO141" i="1"/>
  <c r="DM141" i="1"/>
  <c r="DK141" i="1"/>
  <c r="DL141" i="1" s="1"/>
  <c r="DS141" i="1"/>
  <c r="DO171" i="1"/>
  <c r="DM171" i="1"/>
  <c r="DK171" i="1"/>
  <c r="DL171" i="1" s="1"/>
  <c r="DS171" i="1"/>
  <c r="DN137" i="1"/>
  <c r="DS101" i="1"/>
  <c r="DK101" i="1"/>
  <c r="DL101" i="1" s="1"/>
  <c r="DO101" i="1"/>
  <c r="DM101" i="1"/>
  <c r="DN168" i="1"/>
  <c r="DN188" i="1"/>
  <c r="DR97" i="1"/>
  <c r="DQ97" i="1"/>
  <c r="DS26" i="1"/>
  <c r="DM26" i="1"/>
  <c r="DO26" i="1"/>
  <c r="DS106" i="1"/>
  <c r="DM106" i="1"/>
  <c r="DO106" i="1"/>
  <c r="DP11" i="1"/>
  <c r="DN64" i="1"/>
  <c r="DO220" i="1"/>
  <c r="DM220" i="1"/>
  <c r="DS220" i="1"/>
  <c r="DO202" i="1"/>
  <c r="DK202" i="1"/>
  <c r="DL202" i="1" s="1"/>
  <c r="DS202" i="1"/>
  <c r="DM202" i="1"/>
  <c r="DO114" i="1"/>
  <c r="DM114" i="1"/>
  <c r="DK114" i="1"/>
  <c r="DL114" i="1" s="1"/>
  <c r="DS114" i="1"/>
  <c r="DQ158" i="1"/>
  <c r="DP158" i="1"/>
  <c r="DK277" i="1"/>
  <c r="DL277" i="1" s="1"/>
  <c r="DO277" i="1"/>
  <c r="DM277" i="1"/>
  <c r="DS277" i="1"/>
  <c r="DO193" i="1"/>
  <c r="DM193" i="1"/>
  <c r="DK193" i="1"/>
  <c r="DL193" i="1" s="1"/>
  <c r="DS193" i="1"/>
  <c r="DS136" i="1"/>
  <c r="DO136" i="1"/>
  <c r="DM136" i="1"/>
  <c r="DK136" i="1"/>
  <c r="DL136" i="1" s="1"/>
  <c r="DS330" i="1"/>
  <c r="DK330" i="1"/>
  <c r="DL330" i="1" s="1"/>
  <c r="DO330" i="1"/>
  <c r="DM330" i="1"/>
  <c r="DS268" i="1"/>
  <c r="DO268" i="1"/>
  <c r="DM268" i="1"/>
  <c r="DK268" i="1"/>
  <c r="DL268" i="1" s="1"/>
  <c r="DO254" i="1"/>
  <c r="DM254" i="1"/>
  <c r="DS254" i="1"/>
  <c r="DK254" i="1"/>
  <c r="DL254" i="1" s="1"/>
  <c r="DS199" i="1"/>
  <c r="DK199" i="1"/>
  <c r="DL199" i="1" s="1"/>
  <c r="DO199" i="1"/>
  <c r="DM199" i="1"/>
  <c r="DO194" i="1"/>
  <c r="DK194" i="1"/>
  <c r="DL194" i="1" s="1"/>
  <c r="DS194" i="1"/>
  <c r="DM194" i="1"/>
  <c r="DP159" i="1"/>
  <c r="DR327" i="1"/>
  <c r="DQ327" i="1"/>
  <c r="DP327" i="1"/>
  <c r="DP323" i="1"/>
  <c r="DO318" i="1"/>
  <c r="DS318" i="1"/>
  <c r="DM318" i="1"/>
  <c r="DK318" i="1"/>
  <c r="DL318" i="1" s="1"/>
  <c r="DO326" i="1"/>
  <c r="DS326" i="1"/>
  <c r="DM326" i="1"/>
  <c r="DK326" i="1"/>
  <c r="DL326" i="1" s="1"/>
  <c r="DO306" i="1"/>
  <c r="DM306" i="1"/>
  <c r="DK306" i="1"/>
  <c r="DL306" i="1" s="1"/>
  <c r="DS306" i="1"/>
  <c r="DS319" i="1"/>
  <c r="DK319" i="1"/>
  <c r="DL319" i="1" s="1"/>
  <c r="DO319" i="1"/>
  <c r="DM319" i="1"/>
  <c r="DP303" i="1"/>
  <c r="DS309" i="1"/>
  <c r="DK309" i="1"/>
  <c r="DL309" i="1" s="1"/>
  <c r="DO309" i="1"/>
  <c r="DM309" i="1"/>
  <c r="DK296" i="1"/>
  <c r="DL296" i="1" s="1"/>
  <c r="DS296" i="1"/>
  <c r="DO296" i="1"/>
  <c r="DM296" i="1"/>
  <c r="DS251" i="1"/>
  <c r="DK251" i="1"/>
  <c r="DL251" i="1" s="1"/>
  <c r="DM251" i="1"/>
  <c r="DO251" i="1"/>
  <c r="DO210" i="1"/>
  <c r="DM210" i="1"/>
  <c r="DK210" i="1"/>
  <c r="DL210" i="1" s="1"/>
  <c r="DS210" i="1"/>
  <c r="DO179" i="1"/>
  <c r="DM179" i="1"/>
  <c r="DK179" i="1"/>
  <c r="DL179" i="1" s="1"/>
  <c r="DS179" i="1"/>
  <c r="DS173" i="1"/>
  <c r="DO173" i="1"/>
  <c r="DM173" i="1"/>
  <c r="DQ202" i="1"/>
  <c r="DR202" i="1"/>
  <c r="DS195" i="1"/>
  <c r="DK195" i="1"/>
  <c r="DL195" i="1" s="1"/>
  <c r="DO195" i="1"/>
  <c r="DM195" i="1"/>
  <c r="DS111" i="1"/>
  <c r="DK111" i="1"/>
  <c r="DL111" i="1" s="1"/>
  <c r="DO111" i="1"/>
  <c r="DM111" i="1"/>
  <c r="DS60" i="1"/>
  <c r="DO60" i="1"/>
  <c r="DM60" i="1"/>
  <c r="DQ101" i="1"/>
  <c r="DN101" i="1"/>
  <c r="DS142" i="1"/>
  <c r="DM142" i="1"/>
  <c r="DO142" i="1"/>
  <c r="DO109" i="1"/>
  <c r="DS109" i="1"/>
  <c r="DM109" i="1"/>
  <c r="DN202" i="1"/>
  <c r="DP64" i="1"/>
  <c r="DS11" i="1"/>
  <c r="DK11" i="1"/>
  <c r="DL11" i="1" s="1"/>
  <c r="DO11" i="1"/>
  <c r="DM11" i="1"/>
  <c r="DP137" i="1"/>
  <c r="DS77" i="1"/>
  <c r="DK77" i="1"/>
  <c r="DL77" i="1" s="1"/>
  <c r="DO77" i="1"/>
  <c r="DM77" i="1"/>
  <c r="DS34" i="1"/>
  <c r="DK34" i="1"/>
  <c r="DM34" i="1"/>
  <c r="DO34" i="1"/>
  <c r="DS312" i="1"/>
  <c r="DK312" i="1"/>
  <c r="DL312" i="1" s="1"/>
  <c r="DO312" i="1"/>
  <c r="DM312" i="1"/>
  <c r="DN332" i="1"/>
  <c r="DQ332" i="1"/>
  <c r="DS323" i="1"/>
  <c r="DK323" i="1"/>
  <c r="DL323" i="1" s="1"/>
  <c r="DO323" i="1"/>
  <c r="DM323" i="1"/>
  <c r="DR140" i="1"/>
  <c r="DP324" i="1"/>
  <c r="DR332" i="1"/>
  <c r="DR319" i="1"/>
  <c r="DQ319" i="1"/>
  <c r="DQ299" i="1"/>
  <c r="DO299" i="1"/>
  <c r="DK303" i="1"/>
  <c r="DL303" i="1" s="1"/>
  <c r="DS303" i="1"/>
  <c r="DO303" i="1"/>
  <c r="DM303" i="1"/>
  <c r="DM286" i="1"/>
  <c r="DK286" i="1"/>
  <c r="DL286" i="1" s="1"/>
  <c r="DS286" i="1"/>
  <c r="DO286" i="1"/>
  <c r="DN255" i="1"/>
  <c r="DO233" i="1"/>
  <c r="DM233" i="1"/>
  <c r="DS233" i="1"/>
  <c r="DK233" i="1"/>
  <c r="DL233" i="1" s="1"/>
  <c r="DS221" i="1"/>
  <c r="DO221" i="1"/>
  <c r="DK221" i="1"/>
  <c r="DL221" i="1" s="1"/>
  <c r="DM221" i="1"/>
  <c r="DS184" i="1"/>
  <c r="DK184" i="1"/>
  <c r="DL184" i="1" s="1"/>
  <c r="DO184" i="1"/>
  <c r="DM184" i="1"/>
  <c r="DN238" i="1"/>
  <c r="DN165" i="1"/>
  <c r="DM165" i="1"/>
  <c r="DS218" i="1"/>
  <c r="DK218" i="1"/>
  <c r="DL218" i="1" s="1"/>
  <c r="DO218" i="1"/>
  <c r="DM218" i="1"/>
  <c r="DM118" i="1"/>
  <c r="DK118" i="1"/>
  <c r="DL118" i="1" s="1"/>
  <c r="DS118" i="1"/>
  <c r="DO118" i="1"/>
  <c r="DK14" i="1"/>
  <c r="DL14" i="1" s="1"/>
  <c r="DO14" i="1"/>
  <c r="DS14" i="1"/>
  <c r="DM14" i="1"/>
  <c r="DS188" i="1"/>
  <c r="DK188" i="1"/>
  <c r="DL188" i="1" s="1"/>
  <c r="DO188" i="1"/>
  <c r="DM188" i="1"/>
  <c r="DQ60" i="1"/>
  <c r="DR60" i="1"/>
  <c r="DS36" i="1"/>
  <c r="DK36" i="1"/>
  <c r="DL36" i="1" s="1"/>
  <c r="DM36" i="1"/>
  <c r="DO36" i="1"/>
  <c r="DS168" i="1"/>
  <c r="DO168" i="1"/>
  <c r="DK168" i="1"/>
  <c r="DL168" i="1" s="1"/>
  <c r="DM168" i="1"/>
  <c r="DS19" i="1"/>
  <c r="DK19" i="1"/>
  <c r="DL19" i="1" s="1"/>
  <c r="DM19" i="1"/>
  <c r="DO19" i="1"/>
  <c r="DR109" i="1"/>
  <c r="DQ109" i="1"/>
  <c r="DS82" i="1"/>
  <c r="DK82" i="1"/>
  <c r="DL82" i="1" s="1"/>
  <c r="DO82" i="1"/>
  <c r="DM82" i="1"/>
  <c r="DT89" i="1"/>
  <c r="DN97" i="1"/>
  <c r="DM327" i="1"/>
  <c r="DS327" i="1"/>
  <c r="DK327" i="1"/>
  <c r="DL327" i="1" s="1"/>
  <c r="DO327" i="1"/>
  <c r="DM294" i="1"/>
  <c r="DO294" i="1"/>
  <c r="DS294" i="1"/>
  <c r="DK294" i="1"/>
  <c r="DL294" i="1" s="1"/>
  <c r="DM172" i="1"/>
  <c r="DK172" i="1"/>
  <c r="DL172" i="1" s="1"/>
  <c r="DS172" i="1"/>
  <c r="DO172" i="1"/>
  <c r="DR169" i="1"/>
  <c r="DQ169" i="1"/>
  <c r="DQ148" i="1"/>
  <c r="DP148" i="1"/>
  <c r="DN324" i="1"/>
  <c r="DQ324" i="1"/>
  <c r="DR247" i="1"/>
  <c r="DQ247" i="1"/>
  <c r="DN247" i="1"/>
  <c r="DO298" i="1"/>
  <c r="DM298" i="1"/>
  <c r="DK298" i="1"/>
  <c r="DL298" i="1" s="1"/>
  <c r="DS298" i="1"/>
  <c r="DT290" i="1"/>
  <c r="DQ217" i="1"/>
  <c r="DR217" i="1"/>
  <c r="DN217" i="1"/>
  <c r="DQ77" i="1"/>
  <c r="DN77" i="1"/>
  <c r="DO302" i="1"/>
  <c r="DM302" i="1"/>
  <c r="DK302" i="1"/>
  <c r="DL302" i="1" s="1"/>
  <c r="DS302" i="1"/>
  <c r="DP217" i="1"/>
  <c r="DM331" i="1"/>
  <c r="DS331" i="1"/>
  <c r="DK331" i="1"/>
  <c r="DL331" i="1" s="1"/>
  <c r="DO331" i="1"/>
  <c r="DR324" i="1"/>
  <c r="DM270" i="1"/>
  <c r="DO270" i="1"/>
  <c r="DK270" i="1"/>
  <c r="DL270" i="1" s="1"/>
  <c r="DS270" i="1"/>
  <c r="DN306" i="1"/>
  <c r="DO250" i="1"/>
  <c r="DM250" i="1"/>
  <c r="DS250" i="1"/>
  <c r="DK250" i="1"/>
  <c r="DL250" i="1" s="1"/>
  <c r="DK279" i="1"/>
  <c r="DL279" i="1" s="1"/>
  <c r="DS279" i="1"/>
  <c r="DO279" i="1"/>
  <c r="DM279" i="1"/>
  <c r="DS234" i="1"/>
  <c r="DK234" i="1"/>
  <c r="DL234" i="1" s="1"/>
  <c r="DO234" i="1"/>
  <c r="DM234" i="1"/>
  <c r="DO198" i="1"/>
  <c r="DM198" i="1"/>
  <c r="DK198" i="1"/>
  <c r="DL198" i="1" s="1"/>
  <c r="DS198" i="1"/>
  <c r="DS207" i="1"/>
  <c r="DK207" i="1"/>
  <c r="DL207" i="1" s="1"/>
  <c r="DO207" i="1"/>
  <c r="DM207" i="1"/>
  <c r="DM183" i="1"/>
  <c r="DQ229" i="1"/>
  <c r="DR229" i="1"/>
  <c r="DN229" i="1"/>
  <c r="DS215" i="1"/>
  <c r="DK215" i="1"/>
  <c r="DL215" i="1" s="1"/>
  <c r="DM215" i="1"/>
  <c r="DO215" i="1"/>
  <c r="DT228" i="1"/>
  <c r="DR158" i="1"/>
  <c r="DR14" i="1"/>
  <c r="DQ14" i="1"/>
  <c r="DO110" i="1"/>
  <c r="DM110" i="1"/>
  <c r="DS110" i="1"/>
  <c r="DK110" i="1"/>
  <c r="DL110" i="1" s="1"/>
  <c r="DS31" i="1"/>
  <c r="DO31" i="1"/>
  <c r="DM31" i="1"/>
  <c r="DM169" i="1"/>
  <c r="DS91" i="1"/>
  <c r="DK91" i="1"/>
  <c r="DL91" i="1" s="1"/>
  <c r="DO91" i="1"/>
  <c r="DM91" i="1"/>
  <c r="DP6" i="1"/>
  <c r="DS15" i="1"/>
  <c r="DK15" i="1"/>
  <c r="DL15" i="1" s="1"/>
  <c r="DM15" i="1"/>
  <c r="DO15" i="1"/>
  <c r="DT70" i="1"/>
  <c r="DN148" i="1"/>
  <c r="DR131" i="1"/>
  <c r="DQ131" i="1"/>
  <c r="DN131" i="1"/>
  <c r="DR82" i="1"/>
  <c r="DQ82" i="1"/>
  <c r="DN82" i="1"/>
  <c r="DS69" i="1"/>
  <c r="DK69" i="1"/>
  <c r="DL69" i="1" s="1"/>
  <c r="DO69" i="1"/>
  <c r="DM69" i="1"/>
  <c r="DN74" i="1"/>
  <c r="DO187" i="1"/>
  <c r="DS187" i="1"/>
  <c r="DM187" i="1"/>
  <c r="DK187" i="1"/>
  <c r="DL187" i="1" s="1"/>
  <c r="DN169" i="1"/>
  <c r="DS121" i="1"/>
  <c r="DO121" i="1"/>
  <c r="DM121" i="1"/>
  <c r="DS86" i="1"/>
  <c r="DK86" i="1"/>
  <c r="DL86" i="1" s="1"/>
  <c r="DO86" i="1"/>
  <c r="DM86" i="1"/>
  <c r="DN140" i="1"/>
  <c r="DS226" i="1"/>
  <c r="DM226" i="1"/>
  <c r="DO226" i="1"/>
  <c r="DO278" i="1"/>
  <c r="DK278" i="1"/>
  <c r="DL278" i="1" s="1"/>
  <c r="DS278" i="1"/>
  <c r="DM278" i="1"/>
  <c r="DS263" i="1"/>
  <c r="DK263" i="1"/>
  <c r="DL263" i="1" s="1"/>
  <c r="DM263" i="1"/>
  <c r="DO263" i="1"/>
  <c r="DT283" i="1"/>
  <c r="DT157" i="1"/>
  <c r="DS74" i="1"/>
  <c r="DK74" i="1"/>
  <c r="DL74" i="1" s="1"/>
  <c r="DO74" i="1"/>
  <c r="DM74" i="1"/>
  <c r="DS52" i="1"/>
  <c r="DK52" i="1"/>
  <c r="DL52" i="1" s="1"/>
  <c r="DO52" i="1"/>
  <c r="DM52" i="1"/>
  <c r="DK301" i="1"/>
  <c r="DL301" i="1" s="1"/>
  <c r="DS301" i="1"/>
  <c r="DO301" i="1"/>
  <c r="DM301" i="1"/>
  <c r="DO224" i="1"/>
  <c r="DK224" i="1"/>
  <c r="DL224" i="1" s="1"/>
  <c r="DS224" i="1"/>
  <c r="DM224" i="1"/>
  <c r="DS191" i="1"/>
  <c r="DO191" i="1"/>
  <c r="DM191" i="1"/>
  <c r="DK191" i="1"/>
  <c r="DL191" i="1" s="1"/>
  <c r="DO163" i="1"/>
  <c r="DM163" i="1"/>
  <c r="DK163" i="1"/>
  <c r="DL163" i="1" s="1"/>
  <c r="DS163" i="1"/>
  <c r="DR193" i="1"/>
  <c r="DQ193" i="1"/>
  <c r="DO129" i="1"/>
  <c r="DK129" i="1"/>
  <c r="DL129" i="1" s="1"/>
  <c r="DS129" i="1"/>
  <c r="DM129" i="1"/>
  <c r="DM328" i="1"/>
  <c r="DM316" i="1"/>
  <c r="DT316" i="1" s="1"/>
  <c r="DP332" i="1"/>
  <c r="DM324" i="1"/>
  <c r="DO280" i="1"/>
  <c r="DM280" i="1"/>
  <c r="DS280" i="1"/>
  <c r="DS255" i="1"/>
  <c r="DK255" i="1"/>
  <c r="DL255" i="1" s="1"/>
  <c r="DO255" i="1"/>
  <c r="DM255" i="1"/>
  <c r="DQ249" i="1"/>
  <c r="DR249" i="1"/>
  <c r="DP296" i="1"/>
  <c r="DN275" i="1"/>
  <c r="DM275" i="1"/>
  <c r="DS246" i="1"/>
  <c r="DK246" i="1"/>
  <c r="DL246" i="1" s="1"/>
  <c r="DO246" i="1"/>
  <c r="DM246" i="1"/>
  <c r="DN263" i="1"/>
  <c r="DO258" i="1"/>
  <c r="DS258" i="1"/>
  <c r="DK258" i="1"/>
  <c r="DL258" i="1" s="1"/>
  <c r="DM258" i="1"/>
  <c r="DK245" i="1"/>
  <c r="DL245" i="1" s="1"/>
  <c r="DS245" i="1"/>
  <c r="DM245" i="1"/>
  <c r="DO245" i="1"/>
  <c r="DS237" i="1"/>
  <c r="DO237" i="1"/>
  <c r="DK237" i="1"/>
  <c r="DL237" i="1" s="1"/>
  <c r="DM237" i="1"/>
  <c r="DO214" i="1"/>
  <c r="DK214" i="1"/>
  <c r="DL214" i="1" s="1"/>
  <c r="DS214" i="1"/>
  <c r="DM214" i="1"/>
  <c r="DO183" i="1"/>
  <c r="DP202" i="1"/>
  <c r="DP229" i="1"/>
  <c r="DP180" i="1"/>
  <c r="DN215" i="1"/>
  <c r="DP215" i="1"/>
  <c r="DT152" i="1"/>
  <c r="DP14" i="1"/>
  <c r="DR137" i="1"/>
  <c r="DS211" i="1"/>
  <c r="DO211" i="1"/>
  <c r="DM211" i="1"/>
  <c r="DP169" i="1"/>
  <c r="DR101" i="1"/>
  <c r="DR31" i="1"/>
  <c r="DQ31" i="1"/>
  <c r="DS146" i="1"/>
  <c r="DO146" i="1"/>
  <c r="DK146" i="1"/>
  <c r="DL146" i="1" s="1"/>
  <c r="DM146" i="1"/>
  <c r="DK158" i="1"/>
  <c r="DL158" i="1" s="1"/>
  <c r="DS158" i="1"/>
  <c r="DO158" i="1"/>
  <c r="DM158" i="1"/>
  <c r="DQ121" i="1"/>
  <c r="DR121" i="1"/>
  <c r="DS6" i="1"/>
  <c r="DK6" i="1"/>
  <c r="DO6" i="1"/>
  <c r="DM6" i="1"/>
  <c r="DS64" i="1"/>
  <c r="DK64" i="1"/>
  <c r="DL64" i="1" s="1"/>
  <c r="DM64" i="1"/>
  <c r="DO64" i="1"/>
  <c r="DP42" i="1"/>
  <c r="DM148" i="1"/>
  <c r="DS148" i="1"/>
  <c r="DK148" i="1"/>
  <c r="DL148" i="1" s="1"/>
  <c r="DO148" i="1"/>
  <c r="DP131" i="1"/>
  <c r="DP86" i="1"/>
  <c r="DP77" i="1"/>
  <c r="DQ69" i="1"/>
  <c r="DN69" i="1"/>
  <c r="CS56" i="1"/>
  <c r="DR56" i="1"/>
  <c r="G280" i="1"/>
  <c r="DC56" i="1"/>
  <c r="DD56" i="1" s="1"/>
  <c r="DQ56" i="1" s="1"/>
  <c r="DA56" i="1"/>
  <c r="DB56" i="1" s="1"/>
  <c r="G236" i="1"/>
  <c r="G185" i="1"/>
  <c r="G297" i="1"/>
  <c r="G186" i="1"/>
  <c r="G170" i="1"/>
  <c r="G166" i="1"/>
  <c r="H236" i="1"/>
  <c r="H135" i="1"/>
  <c r="H297" i="1"/>
  <c r="DL335" i="1"/>
  <c r="X317" i="1"/>
  <c r="Y317" i="1" s="1"/>
  <c r="AE317" i="1" s="1"/>
  <c r="AD317" i="1" s="1"/>
  <c r="AF317" i="1" s="1"/>
  <c r="X315" i="1"/>
  <c r="X291" i="1"/>
  <c r="Y291" i="1" s="1"/>
  <c r="AE291" i="1" s="1"/>
  <c r="AD291" i="1" s="1"/>
  <c r="AF291" i="1" s="1"/>
  <c r="X262" i="1"/>
  <c r="Y262" i="1" s="1"/>
  <c r="AE262" i="1" s="1"/>
  <c r="AD262" i="1" s="1"/>
  <c r="AF262" i="1" s="1"/>
  <c r="X238" i="1"/>
  <c r="Y238" i="1" s="1"/>
  <c r="AE238" i="1" s="1"/>
  <c r="AD238" i="1" s="1"/>
  <c r="AF238" i="1" s="1"/>
  <c r="X235" i="1"/>
  <c r="Y235" i="1" s="1"/>
  <c r="AE235" i="1" s="1"/>
  <c r="AD235" i="1" s="1"/>
  <c r="AF235" i="1" s="1"/>
  <c r="X213" i="1"/>
  <c r="Y213" i="1" s="1"/>
  <c r="AE213" i="1" s="1"/>
  <c r="AD213" i="1" s="1"/>
  <c r="AF213" i="1" s="1"/>
  <c r="X209" i="1"/>
  <c r="Y209" i="1" s="1"/>
  <c r="AE209" i="1" s="1"/>
  <c r="AD209" i="1" s="1"/>
  <c r="AF209" i="1" s="1"/>
  <c r="X207" i="1"/>
  <c r="Y207" i="1" s="1"/>
  <c r="AE207" i="1" s="1"/>
  <c r="AD207" i="1" s="1"/>
  <c r="AF207" i="1" s="1"/>
  <c r="X164" i="1"/>
  <c r="Y164" i="1" s="1"/>
  <c r="AE164" i="1" s="1"/>
  <c r="AD164" i="1" s="1"/>
  <c r="AF164" i="1" s="1"/>
  <c r="X160" i="1"/>
  <c r="Y160" i="1" s="1"/>
  <c r="AE160" i="1" s="1"/>
  <c r="AD160" i="1" s="1"/>
  <c r="AF160" i="1" s="1"/>
  <c r="X157" i="1"/>
  <c r="Y157" i="1" s="1"/>
  <c r="AE157" i="1" s="1"/>
  <c r="X141" i="1"/>
  <c r="X115" i="1"/>
  <c r="Y115" i="1" s="1"/>
  <c r="AE115" i="1" s="1"/>
  <c r="AD115" i="1" s="1"/>
  <c r="AF115" i="1" s="1"/>
  <c r="AE97" i="1"/>
  <c r="AD97" i="1" s="1"/>
  <c r="AF97" i="1" s="1"/>
  <c r="X69" i="1"/>
  <c r="AE69" i="1" s="1"/>
  <c r="AD69" i="1" s="1"/>
  <c r="AF69" i="1" s="1"/>
  <c r="X39" i="1"/>
  <c r="AE39" i="1" s="1"/>
  <c r="AD39" i="1" s="1"/>
  <c r="AF39" i="1" s="1"/>
  <c r="X26" i="1"/>
  <c r="AE26" i="1" s="1"/>
  <c r="AD26" i="1" s="1"/>
  <c r="AF26" i="1" s="1"/>
  <c r="X15" i="1"/>
  <c r="AE15" i="1" s="1"/>
  <c r="AD15" i="1" s="1"/>
  <c r="AF15" i="1" s="1"/>
  <c r="DS100" i="1" l="1"/>
  <c r="DM100" i="1"/>
  <c r="DK100" i="1"/>
  <c r="DO100" i="1"/>
  <c r="DP100" i="1"/>
  <c r="DN100" i="1"/>
  <c r="DQ100" i="1"/>
  <c r="DR100" i="1"/>
  <c r="DS128" i="1"/>
  <c r="DM128" i="1"/>
  <c r="DK128" i="1"/>
  <c r="DO128" i="1"/>
  <c r="DP128" i="1"/>
  <c r="DN128" i="1"/>
  <c r="DN95" i="1"/>
  <c r="DR95" i="1"/>
  <c r="DS133" i="1"/>
  <c r="DM133" i="1"/>
  <c r="DK133" i="1"/>
  <c r="DO133" i="1"/>
  <c r="DP133" i="1"/>
  <c r="DN133" i="1"/>
  <c r="DQ133" i="1"/>
  <c r="DR133" i="1"/>
  <c r="DQ12" i="1"/>
  <c r="DR12" i="1"/>
  <c r="DP12" i="1"/>
  <c r="DN12" i="1"/>
  <c r="DS94" i="1"/>
  <c r="DM94" i="1"/>
  <c r="DK94" i="1"/>
  <c r="DO94" i="1"/>
  <c r="DP94" i="1"/>
  <c r="DN94" i="1"/>
  <c r="DQ94" i="1"/>
  <c r="DS55" i="1"/>
  <c r="DM55" i="1"/>
  <c r="DK55" i="1"/>
  <c r="DO55" i="1"/>
  <c r="DP55" i="1"/>
  <c r="DN55" i="1"/>
  <c r="DQ55" i="1"/>
  <c r="DR55" i="1"/>
  <c r="DT120" i="1"/>
  <c r="DS130" i="1"/>
  <c r="DM130" i="1"/>
  <c r="DK130" i="1"/>
  <c r="DO130" i="1"/>
  <c r="DP130" i="1"/>
  <c r="DN130" i="1"/>
  <c r="DQ130" i="1"/>
  <c r="DR130" i="1"/>
  <c r="Y79" i="1"/>
  <c r="AE79" i="1" s="1"/>
  <c r="AD79" i="1" s="1"/>
  <c r="AF79" i="1" s="1"/>
  <c r="Y141" i="1"/>
  <c r="AE141" i="1" s="1"/>
  <c r="DS49" i="1"/>
  <c r="DM49" i="1"/>
  <c r="DK49" i="1"/>
  <c r="DO49" i="1"/>
  <c r="DP49" i="1"/>
  <c r="DN49" i="1"/>
  <c r="DQ49" i="1"/>
  <c r="Y315" i="1"/>
  <c r="AE315" i="1" s="1"/>
  <c r="AD315" i="1" s="1"/>
  <c r="AF315" i="1" s="1"/>
  <c r="DT189" i="1"/>
  <c r="DT244" i="1"/>
  <c r="DL6" i="1"/>
  <c r="H6" i="1" s="1"/>
  <c r="G6" i="1"/>
  <c r="DL34" i="1"/>
  <c r="H34" i="1" s="1"/>
  <c r="G34" i="1"/>
  <c r="DL50" i="1"/>
  <c r="H50" i="1" s="1"/>
  <c r="G50" i="1"/>
  <c r="DL24" i="1"/>
  <c r="H24" i="1" s="1"/>
  <c r="G24" i="1"/>
  <c r="DL38" i="1"/>
  <c r="H38" i="1" s="1"/>
  <c r="G38" i="1"/>
  <c r="DT274" i="1"/>
  <c r="DT267" i="1"/>
  <c r="DT99" i="1"/>
  <c r="DT293" i="1"/>
  <c r="DT325" i="1"/>
  <c r="DT314" i="1"/>
  <c r="DT269" i="1"/>
  <c r="DT182" i="1"/>
  <c r="DT124" i="1"/>
  <c r="DT174" i="1"/>
  <c r="DM276" i="1"/>
  <c r="DT166" i="1"/>
  <c r="DT242" i="1"/>
  <c r="DP196" i="1"/>
  <c r="DT313" i="1"/>
  <c r="DT248" i="1"/>
  <c r="DT25" i="1"/>
  <c r="DT170" i="1"/>
  <c r="DN276" i="1"/>
  <c r="DT305" i="1"/>
  <c r="DT275" i="1"/>
  <c r="DT270" i="1"/>
  <c r="DT181" i="1"/>
  <c r="DT320" i="1"/>
  <c r="DT329" i="1"/>
  <c r="DT230" i="1"/>
  <c r="DT310" i="1"/>
  <c r="DT32" i="1"/>
  <c r="DT307" i="1"/>
  <c r="DT308" i="1"/>
  <c r="DT58" i="1"/>
  <c r="DT160" i="1"/>
  <c r="DT98" i="1"/>
  <c r="DT85" i="1"/>
  <c r="DT145" i="1"/>
  <c r="DT134" i="1"/>
  <c r="DT132" i="1"/>
  <c r="DT24" i="1"/>
  <c r="F24" i="1" s="1"/>
  <c r="DT88" i="1"/>
  <c r="DT122" i="1"/>
  <c r="DT27" i="1"/>
  <c r="DT317" i="1"/>
  <c r="DT264" i="1"/>
  <c r="DT200" i="1"/>
  <c r="DT37" i="1"/>
  <c r="DN257" i="1"/>
  <c r="DT127" i="1"/>
  <c r="DT292" i="1"/>
  <c r="DT282" i="1"/>
  <c r="DT256" i="1"/>
  <c r="DT33" i="1"/>
  <c r="DT261" i="1"/>
  <c r="DT63" i="1"/>
  <c r="DT150" i="1"/>
  <c r="DT116" i="1"/>
  <c r="DT185" i="1"/>
  <c r="F185" i="1" s="1"/>
  <c r="DT300" i="1"/>
  <c r="DT21" i="1"/>
  <c r="DT289" i="1"/>
  <c r="DT223" i="1"/>
  <c r="DT281" i="1"/>
  <c r="DT115" i="1"/>
  <c r="DT62" i="1"/>
  <c r="DT117" i="1"/>
  <c r="DT18" i="1"/>
  <c r="DN119" i="1"/>
  <c r="DT92" i="1"/>
  <c r="DT147" i="1"/>
  <c r="DT125" i="1"/>
  <c r="DT104" i="1"/>
  <c r="DT54" i="1"/>
  <c r="DT80" i="1"/>
  <c r="DT143" i="1"/>
  <c r="DT108" i="1"/>
  <c r="DT20" i="1"/>
  <c r="DT332" i="1"/>
  <c r="DP253" i="1"/>
  <c r="DT30" i="1"/>
  <c r="DT216" i="1"/>
  <c r="DT66" i="1"/>
  <c r="DT186" i="1"/>
  <c r="G160" i="1"/>
  <c r="DT158" i="1"/>
  <c r="DT39" i="1"/>
  <c r="DT22" i="1"/>
  <c r="DT260" i="1"/>
  <c r="DT44" i="1"/>
  <c r="DT84" i="1"/>
  <c r="DT167" i="1"/>
  <c r="DT35" i="1"/>
  <c r="DT28" i="1"/>
  <c r="DT297" i="1"/>
  <c r="DT175" i="1"/>
  <c r="DT43" i="1"/>
  <c r="DT81" i="1"/>
  <c r="DP265" i="1"/>
  <c r="AD157" i="1"/>
  <c r="AF157" i="1" s="1"/>
  <c r="DT165" i="1"/>
  <c r="DT114" i="1"/>
  <c r="DT17" i="1"/>
  <c r="DT121" i="1"/>
  <c r="DT324" i="1"/>
  <c r="DT226" i="1"/>
  <c r="DT238" i="1"/>
  <c r="DT46" i="1"/>
  <c r="DT271" i="1"/>
  <c r="DT71" i="1"/>
  <c r="DP284" i="1"/>
  <c r="DT16" i="1"/>
  <c r="DT7" i="1"/>
  <c r="DT241" i="1"/>
  <c r="DT131" i="1"/>
  <c r="DT78" i="1"/>
  <c r="DT177" i="1"/>
  <c r="DT255" i="1"/>
  <c r="DT137" i="1"/>
  <c r="DN285" i="1"/>
  <c r="DT201" i="1"/>
  <c r="DT222" i="1"/>
  <c r="DT156" i="1"/>
  <c r="DT87" i="1"/>
  <c r="DT291" i="1"/>
  <c r="G331" i="1"/>
  <c r="DT280" i="1"/>
  <c r="F280" i="1" s="1"/>
  <c r="DT176" i="1"/>
  <c r="DT23" i="1"/>
  <c r="DN67" i="1"/>
  <c r="DT90" i="1"/>
  <c r="DT107" i="1"/>
  <c r="DT123" i="1"/>
  <c r="F123" i="1" s="1"/>
  <c r="DT83" i="1"/>
  <c r="DT9" i="1"/>
  <c r="DT103" i="1"/>
  <c r="DP190" i="1"/>
  <c r="DN190" i="1"/>
  <c r="DP68" i="1"/>
  <c r="DN68" i="1"/>
  <c r="DQ68" i="1"/>
  <c r="DN204" i="1"/>
  <c r="DQ204" i="1"/>
  <c r="DP204" i="1"/>
  <c r="DR204" i="1"/>
  <c r="DK243" i="1"/>
  <c r="DL243" i="1" s="1"/>
  <c r="DO243" i="1"/>
  <c r="DS243" i="1"/>
  <c r="DM243" i="1"/>
  <c r="DS265" i="1"/>
  <c r="DK265" i="1"/>
  <c r="DL265" i="1" s="1"/>
  <c r="DM265" i="1"/>
  <c r="DO265" i="1"/>
  <c r="DT326" i="1"/>
  <c r="DM311" i="1"/>
  <c r="DO311" i="1"/>
  <c r="DS311" i="1"/>
  <c r="DK311" i="1"/>
  <c r="DL311" i="1" s="1"/>
  <c r="DS219" i="1"/>
  <c r="DO219" i="1"/>
  <c r="DM219" i="1"/>
  <c r="DK219" i="1"/>
  <c r="DL219" i="1" s="1"/>
  <c r="DK227" i="1"/>
  <c r="DL227" i="1" s="1"/>
  <c r="DM227" i="1"/>
  <c r="DS227" i="1"/>
  <c r="DO227" i="1"/>
  <c r="DN112" i="1"/>
  <c r="DQ112" i="1"/>
  <c r="DP112" i="1"/>
  <c r="DS285" i="1"/>
  <c r="DO285" i="1"/>
  <c r="DK285" i="1"/>
  <c r="DL285" i="1" s="1"/>
  <c r="DM285" i="1"/>
  <c r="DP144" i="1"/>
  <c r="DQ144" i="1"/>
  <c r="DN144" i="1"/>
  <c r="DN76" i="1"/>
  <c r="DP76" i="1"/>
  <c r="DR76" i="1"/>
  <c r="DQ76" i="1"/>
  <c r="DM196" i="1"/>
  <c r="DS196" i="1"/>
  <c r="DK196" i="1"/>
  <c r="DO196" i="1"/>
  <c r="DK212" i="1"/>
  <c r="DL212" i="1" s="1"/>
  <c r="DO212" i="1"/>
  <c r="DM212" i="1"/>
  <c r="DS212" i="1"/>
  <c r="DK232" i="1"/>
  <c r="DL232" i="1" s="1"/>
  <c r="H232" i="1" s="1"/>
  <c r="DO232" i="1"/>
  <c r="DS232" i="1"/>
  <c r="DM232" i="1"/>
  <c r="DT328" i="1"/>
  <c r="DT331" i="1"/>
  <c r="DT299" i="1"/>
  <c r="DT220" i="1"/>
  <c r="DT171" i="1"/>
  <c r="DN311" i="1"/>
  <c r="DP311" i="1"/>
  <c r="DS59" i="1"/>
  <c r="DK59" i="1"/>
  <c r="DL59" i="1" s="1"/>
  <c r="DO59" i="1"/>
  <c r="DM59" i="1"/>
  <c r="DQ284" i="1"/>
  <c r="DR284" i="1"/>
  <c r="DS113" i="1"/>
  <c r="DM113" i="1"/>
  <c r="DK113" i="1"/>
  <c r="DL113" i="1" s="1"/>
  <c r="DO113" i="1"/>
  <c r="DO72" i="1"/>
  <c r="DS72" i="1"/>
  <c r="DM72" i="1"/>
  <c r="DM112" i="1"/>
  <c r="DO112" i="1"/>
  <c r="DS112" i="1"/>
  <c r="DK112" i="1"/>
  <c r="DL112" i="1" s="1"/>
  <c r="DS48" i="1"/>
  <c r="DM48" i="1"/>
  <c r="DK48" i="1"/>
  <c r="DL48" i="1" s="1"/>
  <c r="DO48" i="1"/>
  <c r="DP239" i="1"/>
  <c r="DN239" i="1"/>
  <c r="DQ239" i="1"/>
  <c r="DR239" i="1"/>
  <c r="DM40" i="1"/>
  <c r="DO40" i="1"/>
  <c r="DS40" i="1"/>
  <c r="DQ272" i="1"/>
  <c r="DP272" i="1"/>
  <c r="DN212" i="1"/>
  <c r="DP212" i="1"/>
  <c r="DN227" i="1"/>
  <c r="DM213" i="1"/>
  <c r="DS213" i="1"/>
  <c r="DK213" i="1"/>
  <c r="DL213" i="1" s="1"/>
  <c r="DO213" i="1"/>
  <c r="DT111" i="1"/>
  <c r="DT306" i="1"/>
  <c r="DT277" i="1"/>
  <c r="DQ47" i="1"/>
  <c r="DP47" i="1"/>
  <c r="DN47" i="1"/>
  <c r="DR47" i="1"/>
  <c r="DS209" i="1"/>
  <c r="DO209" i="1"/>
  <c r="DK209" i="1"/>
  <c r="DM209" i="1"/>
  <c r="DQ59" i="1"/>
  <c r="DN59" i="1"/>
  <c r="DP59" i="1"/>
  <c r="DS51" i="1"/>
  <c r="DO51" i="1"/>
  <c r="DK51" i="1"/>
  <c r="DL51" i="1" s="1"/>
  <c r="DM51" i="1"/>
  <c r="DK284" i="1"/>
  <c r="DL284" i="1" s="1"/>
  <c r="DO284" i="1"/>
  <c r="DM284" i="1"/>
  <c r="DS284" i="1"/>
  <c r="DP113" i="1"/>
  <c r="DN113" i="1"/>
  <c r="DQ113" i="1"/>
  <c r="DS149" i="1"/>
  <c r="DO149" i="1"/>
  <c r="DK149" i="1"/>
  <c r="DL149" i="1" s="1"/>
  <c r="DM149" i="1"/>
  <c r="DR48" i="1"/>
  <c r="DQ48" i="1"/>
  <c r="DN48" i="1"/>
  <c r="DP48" i="1"/>
  <c r="DS239" i="1"/>
  <c r="DO239" i="1"/>
  <c r="DK239" i="1"/>
  <c r="DL239" i="1" s="1"/>
  <c r="DM239" i="1"/>
  <c r="DQ40" i="1"/>
  <c r="DR40" i="1"/>
  <c r="DS272" i="1"/>
  <c r="DK272" i="1"/>
  <c r="DL272" i="1" s="1"/>
  <c r="DM272" i="1"/>
  <c r="DO272" i="1"/>
  <c r="DS119" i="1"/>
  <c r="DO119" i="1"/>
  <c r="DK119" i="1"/>
  <c r="DL119" i="1" s="1"/>
  <c r="DM119" i="1"/>
  <c r="DR8" i="1"/>
  <c r="DQ8" i="1"/>
  <c r="DN8" i="1"/>
  <c r="DK95" i="1"/>
  <c r="DL95" i="1" s="1"/>
  <c r="DM95" i="1"/>
  <c r="DS95" i="1"/>
  <c r="DO95" i="1"/>
  <c r="DN208" i="1"/>
  <c r="DS161" i="1"/>
  <c r="DO161" i="1"/>
  <c r="DK161" i="1"/>
  <c r="DL161" i="1" s="1"/>
  <c r="DM161" i="1"/>
  <c r="DR225" i="1"/>
  <c r="DN93" i="1"/>
  <c r="DP93" i="1"/>
  <c r="DK253" i="1"/>
  <c r="DL253" i="1" s="1"/>
  <c r="H253" i="1" s="1"/>
  <c r="DS253" i="1"/>
  <c r="DO253" i="1"/>
  <c r="DM253" i="1"/>
  <c r="AD141" i="1"/>
  <c r="AF141" i="1" s="1"/>
  <c r="DT64" i="1"/>
  <c r="DT146" i="1"/>
  <c r="DT237" i="1"/>
  <c r="DT258" i="1"/>
  <c r="DT19" i="1"/>
  <c r="DT218" i="1"/>
  <c r="DT184" i="1"/>
  <c r="DT233" i="1"/>
  <c r="DT323" i="1"/>
  <c r="DT164" i="1"/>
  <c r="DS47" i="1"/>
  <c r="DK47" i="1"/>
  <c r="DL47" i="1" s="1"/>
  <c r="DO47" i="1"/>
  <c r="DM47" i="1"/>
  <c r="DQ209" i="1"/>
  <c r="DP209" i="1"/>
  <c r="DN209" i="1"/>
  <c r="DQ205" i="1"/>
  <c r="DP205" i="1"/>
  <c r="DN205" i="1"/>
  <c r="DR205" i="1"/>
  <c r="DN51" i="1"/>
  <c r="DR51" i="1"/>
  <c r="DQ51" i="1"/>
  <c r="DP51" i="1"/>
  <c r="DM192" i="1"/>
  <c r="DS192" i="1"/>
  <c r="DK192" i="1"/>
  <c r="DL192" i="1" s="1"/>
  <c r="DO192" i="1"/>
  <c r="DQ149" i="1"/>
  <c r="DN149" i="1"/>
  <c r="DP149" i="1"/>
  <c r="DO79" i="1"/>
  <c r="DS79" i="1"/>
  <c r="DK79" i="1"/>
  <c r="DL79" i="1" s="1"/>
  <c r="DM79" i="1"/>
  <c r="DS178" i="1"/>
  <c r="DK178" i="1"/>
  <c r="DL178" i="1" s="1"/>
  <c r="DM178" i="1"/>
  <c r="DO178" i="1"/>
  <c r="DS8" i="1"/>
  <c r="DO8" i="1"/>
  <c r="DK8" i="1"/>
  <c r="DL8" i="1" s="1"/>
  <c r="DM8" i="1"/>
  <c r="DQ95" i="1"/>
  <c r="DP95" i="1"/>
  <c r="DR161" i="1"/>
  <c r="DQ161" i="1"/>
  <c r="DP161" i="1"/>
  <c r="DS138" i="1"/>
  <c r="DK138" i="1"/>
  <c r="DL138" i="1" s="1"/>
  <c r="DO138" i="1"/>
  <c r="DM138" i="1"/>
  <c r="DM197" i="1"/>
  <c r="DS197" i="1"/>
  <c r="DK197" i="1"/>
  <c r="DL197" i="1" s="1"/>
  <c r="DO197" i="1"/>
  <c r="DR295" i="1"/>
  <c r="DN295" i="1"/>
  <c r="DQ295" i="1"/>
  <c r="DT302" i="1"/>
  <c r="DS96" i="1"/>
  <c r="DO96" i="1"/>
  <c r="DM96" i="1"/>
  <c r="DK96" i="1"/>
  <c r="DL96" i="1" s="1"/>
  <c r="DS13" i="1"/>
  <c r="DM13" i="1"/>
  <c r="DO13" i="1"/>
  <c r="DK13" i="1"/>
  <c r="DL13" i="1" s="1"/>
  <c r="DK205" i="1"/>
  <c r="DL205" i="1" s="1"/>
  <c r="DO205" i="1"/>
  <c r="DS205" i="1"/>
  <c r="DM205" i="1"/>
  <c r="DN273" i="1"/>
  <c r="DP273" i="1"/>
  <c r="DN231" i="1"/>
  <c r="DP231" i="1"/>
  <c r="DN79" i="1"/>
  <c r="DR79" i="1"/>
  <c r="DQ79" i="1"/>
  <c r="DQ178" i="1"/>
  <c r="DR178" i="1"/>
  <c r="DN178" i="1"/>
  <c r="DP178" i="1"/>
  <c r="DO73" i="1"/>
  <c r="DM73" i="1"/>
  <c r="DK73" i="1"/>
  <c r="DL73" i="1" s="1"/>
  <c r="DS73" i="1"/>
  <c r="DT139" i="1"/>
  <c r="DM67" i="1"/>
  <c r="DK67" i="1"/>
  <c r="DL67" i="1" s="1"/>
  <c r="DO67" i="1"/>
  <c r="DS67" i="1"/>
  <c r="DQ138" i="1"/>
  <c r="DR138" i="1"/>
  <c r="DN138" i="1"/>
  <c r="DP197" i="1"/>
  <c r="DN197" i="1"/>
  <c r="DS295" i="1"/>
  <c r="DM295" i="1"/>
  <c r="DK295" i="1"/>
  <c r="DL295" i="1" s="1"/>
  <c r="DO295" i="1"/>
  <c r="DT41" i="1"/>
  <c r="DM75" i="1"/>
  <c r="DK75" i="1"/>
  <c r="DL75" i="1" s="1"/>
  <c r="DO75" i="1"/>
  <c r="DS75" i="1"/>
  <c r="G195" i="1"/>
  <c r="DT169" i="1"/>
  <c r="DT194" i="1"/>
  <c r="DT254" i="1"/>
  <c r="DT126" i="1"/>
  <c r="DN96" i="1"/>
  <c r="DQ96" i="1"/>
  <c r="DP96" i="1"/>
  <c r="DN13" i="1"/>
  <c r="DQ13" i="1"/>
  <c r="DP13" i="1"/>
  <c r="DM93" i="1"/>
  <c r="DS93" i="1"/>
  <c r="DK93" i="1"/>
  <c r="DL93" i="1" s="1"/>
  <c r="DO93" i="1"/>
  <c r="DK273" i="1"/>
  <c r="DL273" i="1" s="1"/>
  <c r="DM273" i="1"/>
  <c r="DO273" i="1"/>
  <c r="DS273" i="1"/>
  <c r="DK68" i="1"/>
  <c r="DL68" i="1" s="1"/>
  <c r="DO68" i="1"/>
  <c r="DM68" i="1"/>
  <c r="DS68" i="1"/>
  <c r="DR232" i="1"/>
  <c r="DQ232" i="1"/>
  <c r="DP232" i="1"/>
  <c r="DN232" i="1"/>
  <c r="DS231" i="1"/>
  <c r="DO231" i="1"/>
  <c r="DM231" i="1"/>
  <c r="DK231" i="1"/>
  <c r="DL231" i="1" s="1"/>
  <c r="DK257" i="1"/>
  <c r="DL257" i="1" s="1"/>
  <c r="H257" i="1" s="1"/>
  <c r="DS257" i="1"/>
  <c r="DO257" i="1"/>
  <c r="DM257" i="1"/>
  <c r="DK204" i="1"/>
  <c r="DL204" i="1" s="1"/>
  <c r="DM204" i="1"/>
  <c r="DS204" i="1"/>
  <c r="DO204" i="1"/>
  <c r="DP73" i="1"/>
  <c r="DN73" i="1"/>
  <c r="DQ67" i="1"/>
  <c r="DR67" i="1"/>
  <c r="DM208" i="1"/>
  <c r="DS208" i="1"/>
  <c r="DO208" i="1"/>
  <c r="DK208" i="1"/>
  <c r="DL208" i="1" s="1"/>
  <c r="DS225" i="1"/>
  <c r="DO225" i="1"/>
  <c r="DM225" i="1"/>
  <c r="DT142" i="1"/>
  <c r="DS190" i="1"/>
  <c r="DO190" i="1"/>
  <c r="DK190" i="1"/>
  <c r="DL190" i="1" s="1"/>
  <c r="DM190" i="1"/>
  <c r="DP219" i="1"/>
  <c r="DQ219" i="1"/>
  <c r="DR219" i="1"/>
  <c r="DN219" i="1"/>
  <c r="DS12" i="1"/>
  <c r="DO12" i="1"/>
  <c r="DM12" i="1"/>
  <c r="DN75" i="1"/>
  <c r="DP75" i="1"/>
  <c r="DP213" i="1"/>
  <c r="DN213" i="1"/>
  <c r="DM144" i="1"/>
  <c r="DS144" i="1"/>
  <c r="DK144" i="1"/>
  <c r="DL144" i="1" s="1"/>
  <c r="DO144" i="1"/>
  <c r="DK76" i="1"/>
  <c r="DL76" i="1" s="1"/>
  <c r="DM76" i="1"/>
  <c r="DS76" i="1"/>
  <c r="DO76" i="1"/>
  <c r="DN243" i="1"/>
  <c r="DP243" i="1"/>
  <c r="DT249" i="1"/>
  <c r="DT247" i="1"/>
  <c r="DT245" i="1"/>
  <c r="DT319" i="1"/>
  <c r="DT259" i="1"/>
  <c r="DT6" i="1"/>
  <c r="F6" i="1" s="1"/>
  <c r="DT191" i="1"/>
  <c r="DT74" i="1"/>
  <c r="DT15" i="1"/>
  <c r="DT31" i="1"/>
  <c r="DT250" i="1"/>
  <c r="DT173" i="1"/>
  <c r="DT262" i="1"/>
  <c r="DT334" i="1"/>
  <c r="DT135" i="1"/>
  <c r="DT82" i="1"/>
  <c r="DT207" i="1"/>
  <c r="DT118" i="1"/>
  <c r="DT163" i="1"/>
  <c r="DT278" i="1"/>
  <c r="DT172" i="1"/>
  <c r="DT188" i="1"/>
  <c r="DT312" i="1"/>
  <c r="DT179" i="1"/>
  <c r="DT251" i="1"/>
  <c r="DT199" i="1"/>
  <c r="DT268" i="1"/>
  <c r="DT136" i="1"/>
  <c r="DT42" i="1"/>
  <c r="DT287" i="1"/>
  <c r="DT26" i="1"/>
  <c r="DT229" i="1"/>
  <c r="DT246" i="1"/>
  <c r="DT224" i="1"/>
  <c r="DT187" i="1"/>
  <c r="DT91" i="1"/>
  <c r="DT198" i="1"/>
  <c r="DT234" i="1"/>
  <c r="DT327" i="1"/>
  <c r="DT36" i="1"/>
  <c r="DT303" i="1"/>
  <c r="DT60" i="1"/>
  <c r="DT309" i="1"/>
  <c r="DT318" i="1"/>
  <c r="DT101" i="1"/>
  <c r="DT217" i="1"/>
  <c r="DT203" i="1"/>
  <c r="DT288" i="1"/>
  <c r="DT322" i="1"/>
  <c r="DT215" i="1"/>
  <c r="DT263" i="1"/>
  <c r="DT109" i="1"/>
  <c r="DT86" i="1"/>
  <c r="DT110" i="1"/>
  <c r="DT183" i="1"/>
  <c r="DT298" i="1"/>
  <c r="DT14" i="1"/>
  <c r="DT286" i="1"/>
  <c r="DT11" i="1"/>
  <c r="DT195" i="1"/>
  <c r="DT193" i="1"/>
  <c r="DT202" i="1"/>
  <c r="DT106" i="1"/>
  <c r="DT140" i="1"/>
  <c r="DT315" i="1"/>
  <c r="DT266" i="1"/>
  <c r="DT148" i="1"/>
  <c r="DT69" i="1"/>
  <c r="DT221" i="1"/>
  <c r="DT159" i="1"/>
  <c r="DT97" i="1"/>
  <c r="DT65" i="1"/>
  <c r="DT180" i="1"/>
  <c r="DT301" i="1"/>
  <c r="DT206" i="1"/>
  <c r="DT129" i="1"/>
  <c r="DT52" i="1"/>
  <c r="DT214" i="1"/>
  <c r="DT279" i="1"/>
  <c r="DT294" i="1"/>
  <c r="DT168" i="1"/>
  <c r="DT34" i="1"/>
  <c r="F34" i="1" s="1"/>
  <c r="DT77" i="1"/>
  <c r="DT210" i="1"/>
  <c r="DT296" i="1"/>
  <c r="DT330" i="1"/>
  <c r="DT141" i="1"/>
  <c r="DT162" i="1"/>
  <c r="DT236" i="1"/>
  <c r="F236" i="1" s="1"/>
  <c r="G202" i="1"/>
  <c r="H186" i="1"/>
  <c r="H185" i="1"/>
  <c r="H321" i="1"/>
  <c r="G321" i="1"/>
  <c r="H264" i="1"/>
  <c r="G264" i="1"/>
  <c r="H84" i="1"/>
  <c r="G84" i="1"/>
  <c r="H183" i="1"/>
  <c r="G183" i="1"/>
  <c r="H18" i="1"/>
  <c r="G18" i="1"/>
  <c r="H60" i="1"/>
  <c r="G60" i="1"/>
  <c r="H226" i="1"/>
  <c r="G226" i="1"/>
  <c r="G211" i="1"/>
  <c r="H290" i="1"/>
  <c r="G290" i="1"/>
  <c r="H292" i="1"/>
  <c r="G292" i="1"/>
  <c r="H282" i="1"/>
  <c r="G282" i="1"/>
  <c r="H26" i="1"/>
  <c r="G26" i="1"/>
  <c r="H72" i="1"/>
  <c r="G72" i="1"/>
  <c r="H142" i="1"/>
  <c r="G142" i="1"/>
  <c r="H287" i="1"/>
  <c r="G287" i="1"/>
  <c r="H225" i="1"/>
  <c r="G225" i="1"/>
  <c r="G219" i="1"/>
  <c r="H106" i="1"/>
  <c r="G106" i="1"/>
  <c r="H109" i="1"/>
  <c r="G109" i="1"/>
  <c r="H25" i="1"/>
  <c r="G25" i="1"/>
  <c r="H320" i="1"/>
  <c r="G320" i="1"/>
  <c r="H220" i="1"/>
  <c r="G220" i="1"/>
  <c r="H31" i="1"/>
  <c r="G31" i="1"/>
  <c r="G12" i="1"/>
  <c r="H121" i="1"/>
  <c r="G121" i="1"/>
  <c r="H173" i="1"/>
  <c r="G173" i="1"/>
  <c r="H98" i="1"/>
  <c r="G98" i="1"/>
  <c r="H40" i="1"/>
  <c r="G40" i="1"/>
  <c r="H65" i="1"/>
  <c r="G65" i="1"/>
  <c r="H313" i="1"/>
  <c r="G313" i="1"/>
  <c r="G229" i="1"/>
  <c r="H70" i="1"/>
  <c r="G70" i="1"/>
  <c r="H267" i="1"/>
  <c r="G267" i="1"/>
  <c r="DM56" i="1"/>
  <c r="DO56" i="1"/>
  <c r="DK56" i="1"/>
  <c r="DL56" i="1" s="1"/>
  <c r="DS56" i="1"/>
  <c r="H216" i="1"/>
  <c r="G216" i="1"/>
  <c r="H139" i="1"/>
  <c r="G139" i="1"/>
  <c r="H159" i="1"/>
  <c r="G159" i="1"/>
  <c r="DN56" i="1"/>
  <c r="H162" i="1"/>
  <c r="G162" i="1"/>
  <c r="DP56" i="1"/>
  <c r="H44" i="1"/>
  <c r="G44" i="1"/>
  <c r="H221" i="1"/>
  <c r="G221" i="1"/>
  <c r="G304" i="1"/>
  <c r="G273" i="1"/>
  <c r="G257" i="1"/>
  <c r="G286" i="1"/>
  <c r="H229" i="1"/>
  <c r="G116" i="1"/>
  <c r="G306" i="1"/>
  <c r="G260" i="1"/>
  <c r="G323" i="1"/>
  <c r="G319" i="1"/>
  <c r="G299" i="1"/>
  <c r="G300" i="1"/>
  <c r="G259" i="1"/>
  <c r="G246" i="1"/>
  <c r="G307" i="1"/>
  <c r="G256" i="1"/>
  <c r="G254" i="1"/>
  <c r="G281" i="1"/>
  <c r="G318" i="1"/>
  <c r="G283" i="1"/>
  <c r="G262" i="1"/>
  <c r="G303" i="1"/>
  <c r="G315" i="1"/>
  <c r="G275" i="1"/>
  <c r="G310" i="1"/>
  <c r="G218" i="1"/>
  <c r="G325" i="1"/>
  <c r="G268" i="1"/>
  <c r="G117" i="1"/>
  <c r="G263" i="1"/>
  <c r="G291" i="1"/>
  <c r="H166" i="1"/>
  <c r="G298" i="1"/>
  <c r="G270" i="1"/>
  <c r="G168" i="1"/>
  <c r="H170" i="1"/>
  <c r="H202" i="1"/>
  <c r="H160" i="1"/>
  <c r="H195" i="1"/>
  <c r="H331" i="1"/>
  <c r="F220" i="1"/>
  <c r="H319" i="1"/>
  <c r="H259" i="1"/>
  <c r="H304" i="1"/>
  <c r="H325" i="1"/>
  <c r="H254" i="1"/>
  <c r="H303" i="1"/>
  <c r="H306" i="1"/>
  <c r="H260" i="1"/>
  <c r="H262" i="1"/>
  <c r="H218" i="1"/>
  <c r="H286" i="1"/>
  <c r="H298" i="1"/>
  <c r="H307" i="1"/>
  <c r="F169" i="1"/>
  <c r="DL100" i="1" l="1"/>
  <c r="G100" i="1"/>
  <c r="G128" i="1"/>
  <c r="DL128" i="1"/>
  <c r="H128" i="1" s="1"/>
  <c r="DL133" i="1"/>
  <c r="G133" i="1"/>
  <c r="DL94" i="1"/>
  <c r="G94" i="1"/>
  <c r="DL55" i="1"/>
  <c r="G55" i="1"/>
  <c r="DT50" i="1"/>
  <c r="F50" i="1" s="1"/>
  <c r="DT38" i="1"/>
  <c r="F38" i="1" s="1"/>
  <c r="DL130" i="1"/>
  <c r="G130" i="1"/>
  <c r="DL49" i="1"/>
  <c r="G49" i="1"/>
  <c r="DT276" i="1"/>
  <c r="G232" i="1"/>
  <c r="G253" i="1"/>
  <c r="DT144" i="1"/>
  <c r="DT208" i="1"/>
  <c r="DT197" i="1"/>
  <c r="DT239" i="1"/>
  <c r="DT112" i="1"/>
  <c r="G190" i="1"/>
  <c r="DT192" i="1"/>
  <c r="DT285" i="1"/>
  <c r="DT149" i="1"/>
  <c r="DT113" i="1"/>
  <c r="DT204" i="1"/>
  <c r="F204" i="1" s="1"/>
  <c r="DT68" i="1"/>
  <c r="DT73" i="1"/>
  <c r="DT284" i="1"/>
  <c r="DL196" i="1"/>
  <c r="G196" i="1"/>
  <c r="DT265" i="1"/>
  <c r="DT205" i="1"/>
  <c r="DT178" i="1"/>
  <c r="DT47" i="1"/>
  <c r="DT161" i="1"/>
  <c r="DL209" i="1"/>
  <c r="G209" i="1"/>
  <c r="DT311" i="1"/>
  <c r="F311" i="1" s="1"/>
  <c r="DT225" i="1"/>
  <c r="DT295" i="1"/>
  <c r="DT13" i="1"/>
  <c r="DT272" i="1"/>
  <c r="DT51" i="1"/>
  <c r="F51" i="1" s="1"/>
  <c r="DT232" i="1"/>
  <c r="DT257" i="1"/>
  <c r="DT273" i="1"/>
  <c r="F273" i="1" s="1"/>
  <c r="DT75" i="1"/>
  <c r="DT67" i="1"/>
  <c r="DT138" i="1"/>
  <c r="F138" i="1" s="1"/>
  <c r="DT8" i="1"/>
  <c r="DT79" i="1"/>
  <c r="DT253" i="1"/>
  <c r="DT213" i="1"/>
  <c r="F213" i="1" s="1"/>
  <c r="DT40" i="1"/>
  <c r="F40" i="1" s="1"/>
  <c r="DT72" i="1"/>
  <c r="DT59" i="1"/>
  <c r="DT227" i="1"/>
  <c r="DT76" i="1"/>
  <c r="DT231" i="1"/>
  <c r="DT119" i="1"/>
  <c r="DT48" i="1"/>
  <c r="DT219" i="1"/>
  <c r="F219" i="1" s="1"/>
  <c r="DT243" i="1"/>
  <c r="DT12" i="1"/>
  <c r="DT93" i="1"/>
  <c r="DT96" i="1"/>
  <c r="DT95" i="1"/>
  <c r="DT212" i="1"/>
  <c r="DT190" i="1"/>
  <c r="H315" i="1"/>
  <c r="H323" i="1"/>
  <c r="H310" i="1"/>
  <c r="H299" i="1"/>
  <c r="H283" i="1"/>
  <c r="H300" i="1"/>
  <c r="H270" i="1"/>
  <c r="H291" i="1"/>
  <c r="H281" i="1"/>
  <c r="H318" i="1"/>
  <c r="H116" i="1"/>
  <c r="H275" i="1"/>
  <c r="H268" i="1"/>
  <c r="H117" i="1"/>
  <c r="F221" i="1"/>
  <c r="F139" i="1"/>
  <c r="H190" i="1"/>
  <c r="H273" i="1"/>
  <c r="H263" i="1"/>
  <c r="H219" i="1"/>
  <c r="H58" i="1"/>
  <c r="G58" i="1"/>
  <c r="H144" i="1"/>
  <c r="G144" i="1"/>
  <c r="H296" i="1"/>
  <c r="G296" i="1"/>
  <c r="H309" i="1"/>
  <c r="G309" i="1"/>
  <c r="H124" i="1"/>
  <c r="G124" i="1"/>
  <c r="H201" i="1"/>
  <c r="G201" i="1"/>
  <c r="H165" i="1"/>
  <c r="G165" i="1"/>
  <c r="H322" i="1"/>
  <c r="G322" i="1"/>
  <c r="H203" i="1"/>
  <c r="G203" i="1"/>
  <c r="H274" i="1"/>
  <c r="G274" i="1"/>
  <c r="H222" i="1"/>
  <c r="G222" i="1"/>
  <c r="H176" i="1"/>
  <c r="G176" i="1"/>
  <c r="H179" i="1"/>
  <c r="G179" i="1"/>
  <c r="H189" i="1"/>
  <c r="G189" i="1"/>
  <c r="H42" i="1"/>
  <c r="G42" i="1"/>
  <c r="H51" i="1"/>
  <c r="G51" i="1"/>
  <c r="F256" i="1"/>
  <c r="H256" i="1"/>
  <c r="H246" i="1"/>
  <c r="H47" i="1"/>
  <c r="G47" i="1"/>
  <c r="H122" i="1"/>
  <c r="G122" i="1"/>
  <c r="H217" i="1"/>
  <c r="G217" i="1"/>
  <c r="H163" i="1"/>
  <c r="G163" i="1"/>
  <c r="H314" i="1"/>
  <c r="G314" i="1"/>
  <c r="G161" i="1"/>
  <c r="G237" i="1"/>
  <c r="H213" i="1"/>
  <c r="G213" i="1"/>
  <c r="H215" i="1"/>
  <c r="G215" i="1"/>
  <c r="H261" i="1"/>
  <c r="G261" i="1"/>
  <c r="H36" i="1"/>
  <c r="G36" i="1"/>
  <c r="H301" i="1"/>
  <c r="G301" i="1"/>
  <c r="H113" i="1"/>
  <c r="G113" i="1"/>
  <c r="H158" i="1"/>
  <c r="G158" i="1"/>
  <c r="H129" i="1"/>
  <c r="G129" i="1"/>
  <c r="H127" i="1"/>
  <c r="G127" i="1"/>
  <c r="H199" i="1"/>
  <c r="G199" i="1"/>
  <c r="H172" i="1"/>
  <c r="G172" i="1"/>
  <c r="H293" i="1"/>
  <c r="G293" i="1"/>
  <c r="H223" i="1"/>
  <c r="G223" i="1"/>
  <c r="G194" i="1"/>
  <c r="H311" i="1"/>
  <c r="G311" i="1"/>
  <c r="H272" i="1"/>
  <c r="G272" i="1"/>
  <c r="H312" i="1"/>
  <c r="G312" i="1"/>
  <c r="H266" i="1"/>
  <c r="G266" i="1"/>
  <c r="H269" i="1"/>
  <c r="G269" i="1"/>
  <c r="H255" i="1"/>
  <c r="G255" i="1"/>
  <c r="H288" i="1"/>
  <c r="G288" i="1"/>
  <c r="H115" i="1"/>
  <c r="G115" i="1"/>
  <c r="H137" i="1"/>
  <c r="G137" i="1"/>
  <c r="H19" i="1"/>
  <c r="G19" i="1"/>
  <c r="H131" i="1"/>
  <c r="G131" i="1"/>
  <c r="H235" i="1"/>
  <c r="G235" i="1"/>
  <c r="G171" i="1"/>
  <c r="H43" i="1"/>
  <c r="G43" i="1"/>
  <c r="H207" i="1"/>
  <c r="G207" i="1"/>
  <c r="H110" i="1"/>
  <c r="G110" i="1"/>
  <c r="H302" i="1"/>
  <c r="G302" i="1"/>
  <c r="G192" i="1"/>
  <c r="H191" i="1"/>
  <c r="G191" i="1"/>
  <c r="H140" i="1"/>
  <c r="G140" i="1"/>
  <c r="H164" i="1"/>
  <c r="G164" i="1"/>
  <c r="H200" i="1"/>
  <c r="G200" i="1"/>
  <c r="H265" i="1"/>
  <c r="G265" i="1"/>
  <c r="H22" i="1"/>
  <c r="G22" i="1"/>
  <c r="H247" i="1"/>
  <c r="G247" i="1"/>
  <c r="H148" i="1"/>
  <c r="G148" i="1"/>
  <c r="H41" i="1"/>
  <c r="G41" i="1"/>
  <c r="H206" i="1"/>
  <c r="G206" i="1"/>
  <c r="H141" i="1"/>
  <c r="G141" i="1"/>
  <c r="H14" i="1"/>
  <c r="G14" i="1"/>
  <c r="H150" i="1"/>
  <c r="G150" i="1"/>
  <c r="F168" i="1"/>
  <c r="H168" i="1"/>
  <c r="G169" i="1"/>
  <c r="H279" i="1"/>
  <c r="G279" i="1"/>
  <c r="H112" i="1"/>
  <c r="G112" i="1"/>
  <c r="G210" i="1"/>
  <c r="H214" i="1"/>
  <c r="G214" i="1"/>
  <c r="H228" i="1"/>
  <c r="G228" i="1"/>
  <c r="H227" i="1"/>
  <c r="G227" i="1"/>
  <c r="H118" i="1"/>
  <c r="G118" i="1"/>
  <c r="H231" i="1"/>
  <c r="G231" i="1"/>
  <c r="H205" i="1"/>
  <c r="G205" i="1"/>
  <c r="H79" i="1"/>
  <c r="G79" i="1"/>
  <c r="H295" i="1"/>
  <c r="G295" i="1"/>
  <c r="H111" i="1"/>
  <c r="G111" i="1"/>
  <c r="H204" i="1"/>
  <c r="G204" i="1"/>
  <c r="H177" i="1"/>
  <c r="G177" i="1"/>
  <c r="H324" i="1"/>
  <c r="G324" i="1"/>
  <c r="H149" i="1"/>
  <c r="G149" i="1"/>
  <c r="H114" i="1"/>
  <c r="G114" i="1"/>
  <c r="H278" i="1"/>
  <c r="G278" i="1"/>
  <c r="H120" i="1"/>
  <c r="G120" i="1"/>
  <c r="H125" i="1"/>
  <c r="G125" i="1"/>
  <c r="H28" i="1"/>
  <c r="G28" i="1"/>
  <c r="H54" i="1"/>
  <c r="G54" i="1"/>
  <c r="H284" i="1"/>
  <c r="G284" i="1"/>
  <c r="H138" i="1"/>
  <c r="G138" i="1"/>
  <c r="H289" i="1"/>
  <c r="G289" i="1"/>
  <c r="H258" i="1"/>
  <c r="G258" i="1"/>
  <c r="H136" i="1"/>
  <c r="G136" i="1"/>
  <c r="H241" i="1"/>
  <c r="G241" i="1"/>
  <c r="H119" i="1"/>
  <c r="G119" i="1"/>
  <c r="H175" i="1"/>
  <c r="G175" i="1"/>
  <c r="H27" i="1"/>
  <c r="G27" i="1"/>
  <c r="H152" i="1"/>
  <c r="G152" i="1"/>
  <c r="H146" i="1"/>
  <c r="G146" i="1"/>
  <c r="H305" i="1"/>
  <c r="G305" i="1"/>
  <c r="G178" i="1"/>
  <c r="H193" i="1"/>
  <c r="G193" i="1"/>
  <c r="H99" i="1"/>
  <c r="G99" i="1"/>
  <c r="G156" i="1"/>
  <c r="DT56" i="1"/>
  <c r="H294" i="1"/>
  <c r="G294" i="1"/>
  <c r="H180" i="1"/>
  <c r="G180" i="1"/>
  <c r="H332" i="1"/>
  <c r="G332" i="1"/>
  <c r="G157" i="1"/>
  <c r="H197" i="1"/>
  <c r="G197" i="1"/>
  <c r="G198" i="1"/>
  <c r="H308" i="1"/>
  <c r="G308" i="1"/>
  <c r="H285" i="1"/>
  <c r="G285" i="1"/>
  <c r="H147" i="1"/>
  <c r="G147" i="1"/>
  <c r="H316" i="1"/>
  <c r="G316" i="1"/>
  <c r="G276" i="1"/>
  <c r="H78" i="1"/>
  <c r="G78" i="1"/>
  <c r="G208" i="1"/>
  <c r="H208" i="1"/>
  <c r="H212" i="1"/>
  <c r="G212" i="1"/>
  <c r="H233" i="1"/>
  <c r="G233" i="1"/>
  <c r="H108" i="1"/>
  <c r="G108" i="1"/>
  <c r="H188" i="1"/>
  <c r="G188" i="1"/>
  <c r="H174" i="1"/>
  <c r="G174" i="1"/>
  <c r="H317" i="1"/>
  <c r="G317" i="1"/>
  <c r="H167" i="1"/>
  <c r="G167" i="1"/>
  <c r="H271" i="1"/>
  <c r="G271" i="1"/>
  <c r="H46" i="1"/>
  <c r="G46" i="1"/>
  <c r="H224" i="1"/>
  <c r="G224" i="1"/>
  <c r="G56" i="1"/>
  <c r="F124" i="1"/>
  <c r="F58" i="1"/>
  <c r="F36" i="1"/>
  <c r="F14" i="1"/>
  <c r="F78" i="1"/>
  <c r="F275" i="1"/>
  <c r="F162" i="1"/>
  <c r="F203" i="1"/>
  <c r="F217" i="1"/>
  <c r="F31" i="1"/>
  <c r="F120" i="1"/>
  <c r="F65" i="1"/>
  <c r="F42" i="1"/>
  <c r="F110" i="1"/>
  <c r="F267" i="1"/>
  <c r="F176" i="1"/>
  <c r="F254" i="1"/>
  <c r="F304" i="1"/>
  <c r="F212" i="1"/>
  <c r="F269" i="1"/>
  <c r="F255" i="1"/>
  <c r="F129" i="1"/>
  <c r="F173" i="1"/>
  <c r="F206" i="1"/>
  <c r="F216" i="1"/>
  <c r="F300" i="1"/>
  <c r="F283" i="1"/>
  <c r="F166" i="1"/>
  <c r="F290" i="1"/>
  <c r="F226" i="1"/>
  <c r="F317" i="1"/>
  <c r="F233" i="1"/>
  <c r="F44" i="1"/>
  <c r="F320" i="1"/>
  <c r="F208" i="1"/>
  <c r="F180" i="1"/>
  <c r="F19" i="1"/>
  <c r="F268" i="1"/>
  <c r="F307" i="1"/>
  <c r="F295" i="1"/>
  <c r="F195" i="1"/>
  <c r="F159" i="1"/>
  <c r="F189" i="1"/>
  <c r="F322" i="1"/>
  <c r="F253" i="1"/>
  <c r="F186" i="1"/>
  <c r="F265" i="1"/>
  <c r="F257" i="1"/>
  <c r="F306" i="1"/>
  <c r="F270" i="1"/>
  <c r="F222" i="1"/>
  <c r="F109" i="1"/>
  <c r="F286" i="1"/>
  <c r="F218" i="1"/>
  <c r="F313" i="1"/>
  <c r="F264" i="1"/>
  <c r="F272" i="1"/>
  <c r="F229" i="1"/>
  <c r="F261" i="1"/>
  <c r="G327" i="1"/>
  <c r="F262" i="1"/>
  <c r="G230" i="1"/>
  <c r="F160" i="1"/>
  <c r="F323" i="1"/>
  <c r="F260" i="1"/>
  <c r="F281" i="1"/>
  <c r="G248" i="1"/>
  <c r="F331" i="1"/>
  <c r="F170" i="1"/>
  <c r="G245" i="1"/>
  <c r="F225" i="1"/>
  <c r="F60" i="1"/>
  <c r="F146" i="1"/>
  <c r="F117" i="1"/>
  <c r="F310" i="1"/>
  <c r="F224" i="1"/>
  <c r="F298" i="1"/>
  <c r="F324" i="1"/>
  <c r="F284" i="1"/>
  <c r="G251" i="1"/>
  <c r="F122" i="1"/>
  <c r="G239" i="1"/>
  <c r="F321" i="1"/>
  <c r="F297" i="1"/>
  <c r="G242" i="1"/>
  <c r="F140" i="1"/>
  <c r="G243" i="1"/>
  <c r="F299" i="1"/>
  <c r="F232" i="1"/>
  <c r="F22" i="1"/>
  <c r="F172" i="1"/>
  <c r="F136" i="1"/>
  <c r="F118" i="1"/>
  <c r="F325" i="1"/>
  <c r="G244" i="1"/>
  <c r="F332" i="1"/>
  <c r="F259" i="1"/>
  <c r="F303" i="1"/>
  <c r="F315" i="1"/>
  <c r="F202" i="1"/>
  <c r="F319" i="1"/>
  <c r="F309" i="1"/>
  <c r="H327" i="1"/>
  <c r="H244" i="1"/>
  <c r="H242" i="1"/>
  <c r="F333" i="1"/>
  <c r="F334" i="1"/>
  <c r="BB211" i="1"/>
  <c r="DT100" i="1" l="1"/>
  <c r="F100" i="1" s="1"/>
  <c r="H100" i="1"/>
  <c r="DT128" i="1"/>
  <c r="F128" i="1" s="1"/>
  <c r="DT133" i="1"/>
  <c r="F133" i="1" s="1"/>
  <c r="H133" i="1"/>
  <c r="DT94" i="1"/>
  <c r="F94" i="1" s="1"/>
  <c r="H94" i="1"/>
  <c r="DT55" i="1"/>
  <c r="F55" i="1" s="1"/>
  <c r="H55" i="1"/>
  <c r="DT130" i="1"/>
  <c r="F130" i="1" s="1"/>
  <c r="H130" i="1"/>
  <c r="DT49" i="1"/>
  <c r="F49" i="1" s="1"/>
  <c r="H49" i="1"/>
  <c r="DT196" i="1"/>
  <c r="F196" i="1" s="1"/>
  <c r="H196" i="1"/>
  <c r="DT209" i="1"/>
  <c r="F209" i="1" s="1"/>
  <c r="H209" i="1"/>
  <c r="H211" i="1"/>
  <c r="DT211" i="1"/>
  <c r="F27" i="1"/>
  <c r="F188" i="1"/>
  <c r="F158" i="1"/>
  <c r="F28" i="1"/>
  <c r="F179" i="1"/>
  <c r="H243" i="1"/>
  <c r="F274" i="1"/>
  <c r="F291" i="1"/>
  <c r="F199" i="1"/>
  <c r="F112" i="1"/>
  <c r="H230" i="1"/>
  <c r="H239" i="1"/>
  <c r="F263" i="1"/>
  <c r="F113" i="1"/>
  <c r="F318" i="1"/>
  <c r="F116" i="1"/>
  <c r="F271" i="1"/>
  <c r="F200" i="1"/>
  <c r="F165" i="1"/>
  <c r="F215" i="1"/>
  <c r="F289" i="1"/>
  <c r="F148" i="1"/>
  <c r="F294" i="1"/>
  <c r="F293" i="1"/>
  <c r="F228" i="1"/>
  <c r="F314" i="1"/>
  <c r="F114" i="1"/>
  <c r="F296" i="1"/>
  <c r="F279" i="1"/>
  <c r="F47" i="1"/>
  <c r="F191" i="1"/>
  <c r="F150" i="1"/>
  <c r="F41" i="1"/>
  <c r="H248" i="1"/>
  <c r="H245" i="1"/>
  <c r="F119" i="1"/>
  <c r="F205" i="1"/>
  <c r="F227" i="1"/>
  <c r="F235" i="1"/>
  <c r="F147" i="1"/>
  <c r="F207" i="1"/>
  <c r="F258" i="1"/>
  <c r="F266" i="1"/>
  <c r="F174" i="1"/>
  <c r="F316" i="1"/>
  <c r="F175" i="1"/>
  <c r="H251" i="1"/>
  <c r="F305" i="1"/>
  <c r="F46" i="1"/>
  <c r="F308" i="1"/>
  <c r="F246" i="1"/>
  <c r="F278" i="1"/>
  <c r="F137" i="1"/>
  <c r="F108" i="1"/>
  <c r="F43" i="1"/>
  <c r="F214" i="1"/>
  <c r="F302" i="1"/>
  <c r="F288" i="1"/>
  <c r="F111" i="1"/>
  <c r="F152" i="1"/>
  <c r="F190" i="1"/>
  <c r="F247" i="1"/>
  <c r="F301" i="1"/>
  <c r="F223" i="1"/>
  <c r="F163" i="1"/>
  <c r="F292" i="1"/>
  <c r="F164" i="1"/>
  <c r="F149" i="1"/>
  <c r="F167" i="1"/>
  <c r="F241" i="1"/>
  <c r="F312" i="1"/>
  <c r="F144" i="1"/>
  <c r="F131" i="1"/>
  <c r="F231" i="1"/>
  <c r="F127" i="1"/>
  <c r="F141" i="1"/>
  <c r="F197" i="1"/>
  <c r="F193" i="1"/>
  <c r="F285" i="1"/>
  <c r="F201" i="1"/>
  <c r="H39" i="1"/>
  <c r="G39" i="1"/>
  <c r="H91" i="1"/>
  <c r="G91" i="1"/>
  <c r="H234" i="1"/>
  <c r="G234" i="1"/>
  <c r="H20" i="1"/>
  <c r="G20" i="1"/>
  <c r="H81" i="1"/>
  <c r="G81" i="1"/>
  <c r="H16" i="1"/>
  <c r="G16" i="1"/>
  <c r="H238" i="1"/>
  <c r="G238" i="1"/>
  <c r="H134" i="1"/>
  <c r="G134" i="1"/>
  <c r="H23" i="1"/>
  <c r="G23" i="1"/>
  <c r="H71" i="1"/>
  <c r="G71" i="1"/>
  <c r="H101" i="1"/>
  <c r="G101" i="1"/>
  <c r="F54" i="1"/>
  <c r="F125" i="1"/>
  <c r="F192" i="1"/>
  <c r="H192" i="1"/>
  <c r="F194" i="1"/>
  <c r="H194" i="1"/>
  <c r="H8" i="1"/>
  <c r="G8" i="1"/>
  <c r="H21" i="1"/>
  <c r="G21" i="1"/>
  <c r="H182" i="1"/>
  <c r="G182" i="1"/>
  <c r="H11" i="1"/>
  <c r="G11" i="1"/>
  <c r="H187" i="1"/>
  <c r="G187" i="1"/>
  <c r="H107" i="1"/>
  <c r="G107" i="1"/>
  <c r="H35" i="1"/>
  <c r="G35" i="1"/>
  <c r="H7" i="1"/>
  <c r="G7" i="1"/>
  <c r="H277" i="1"/>
  <c r="G277" i="1"/>
  <c r="H66" i="1"/>
  <c r="G66" i="1"/>
  <c r="H326" i="1"/>
  <c r="G326" i="1"/>
  <c r="H97" i="1"/>
  <c r="G97" i="1"/>
  <c r="H89" i="1"/>
  <c r="G89" i="1"/>
  <c r="H92" i="1"/>
  <c r="G92" i="1"/>
  <c r="H132" i="1"/>
  <c r="G132" i="1"/>
  <c r="H62" i="1"/>
  <c r="G62" i="1"/>
  <c r="H48" i="1"/>
  <c r="G48" i="1"/>
  <c r="H240" i="1"/>
  <c r="G240" i="1"/>
  <c r="H76" i="1"/>
  <c r="G76" i="1"/>
  <c r="H330" i="1"/>
  <c r="G330" i="1"/>
  <c r="H328" i="1"/>
  <c r="G328" i="1"/>
  <c r="F157" i="1"/>
  <c r="H157" i="1"/>
  <c r="H169" i="1"/>
  <c r="F177" i="1"/>
  <c r="H90" i="1"/>
  <c r="G90" i="1"/>
  <c r="H13" i="1"/>
  <c r="G13" i="1"/>
  <c r="H95" i="1"/>
  <c r="G95" i="1"/>
  <c r="H30" i="1"/>
  <c r="G30" i="1"/>
  <c r="H82" i="1"/>
  <c r="G82" i="1"/>
  <c r="H181" i="1"/>
  <c r="G181" i="1"/>
  <c r="H103" i="1"/>
  <c r="G103" i="1"/>
  <c r="H69" i="1"/>
  <c r="G69" i="1"/>
  <c r="H74" i="1"/>
  <c r="G74" i="1"/>
  <c r="H143" i="1"/>
  <c r="G143" i="1"/>
  <c r="H145" i="1"/>
  <c r="G145" i="1"/>
  <c r="H104" i="1"/>
  <c r="G104" i="1"/>
  <c r="H77" i="1"/>
  <c r="G77" i="1"/>
  <c r="H83" i="1"/>
  <c r="G83" i="1"/>
  <c r="H64" i="1"/>
  <c r="G64" i="1"/>
  <c r="H126" i="1"/>
  <c r="G126" i="1"/>
  <c r="H37" i="1"/>
  <c r="G37" i="1"/>
  <c r="H276" i="1"/>
  <c r="F276" i="1"/>
  <c r="H156" i="1"/>
  <c r="F156" i="1"/>
  <c r="H178" i="1"/>
  <c r="F178" i="1"/>
  <c r="F210" i="1"/>
  <c r="H210" i="1"/>
  <c r="F171" i="1"/>
  <c r="H171" i="1"/>
  <c r="F237" i="1"/>
  <c r="H237" i="1"/>
  <c r="H88" i="1"/>
  <c r="G88" i="1"/>
  <c r="H184" i="1"/>
  <c r="G184" i="1"/>
  <c r="H249" i="1"/>
  <c r="G249" i="1"/>
  <c r="H75" i="1"/>
  <c r="G75" i="1"/>
  <c r="H93" i="1"/>
  <c r="G93" i="1"/>
  <c r="H67" i="1"/>
  <c r="G67" i="1"/>
  <c r="H85" i="1"/>
  <c r="G85" i="1"/>
  <c r="H63" i="1"/>
  <c r="G63" i="1"/>
  <c r="H33" i="1"/>
  <c r="G33" i="1"/>
  <c r="H87" i="1"/>
  <c r="G87" i="1"/>
  <c r="H96" i="1"/>
  <c r="G96" i="1"/>
  <c r="H32" i="1"/>
  <c r="G32" i="1"/>
  <c r="H52" i="1"/>
  <c r="G52" i="1"/>
  <c r="H198" i="1"/>
  <c r="F198" i="1"/>
  <c r="H161" i="1"/>
  <c r="F161" i="1"/>
  <c r="H86" i="1"/>
  <c r="G86" i="1"/>
  <c r="H250" i="1"/>
  <c r="G250" i="1"/>
  <c r="H80" i="1"/>
  <c r="G80" i="1"/>
  <c r="H68" i="1"/>
  <c r="G68" i="1"/>
  <c r="H9" i="1"/>
  <c r="G9" i="1"/>
  <c r="H329" i="1"/>
  <c r="G329" i="1"/>
  <c r="H59" i="1"/>
  <c r="G59" i="1"/>
  <c r="H252" i="1"/>
  <c r="G252" i="1"/>
  <c r="H17" i="1"/>
  <c r="G17" i="1"/>
  <c r="H73" i="1"/>
  <c r="G73" i="1"/>
  <c r="F99" i="1"/>
  <c r="H56" i="1"/>
  <c r="F56" i="1"/>
  <c r="F121" i="1"/>
  <c r="F287" i="1"/>
  <c r="F67" i="1"/>
  <c r="F142" i="1"/>
  <c r="F230" i="1"/>
  <c r="F211" i="1"/>
  <c r="F66" i="1"/>
  <c r="F282" i="1"/>
  <c r="F251" i="1"/>
  <c r="F72" i="1"/>
  <c r="F327" i="1"/>
  <c r="F106" i="1"/>
  <c r="G15" i="1"/>
  <c r="F39" i="1"/>
  <c r="F81" i="1"/>
  <c r="F92" i="1"/>
  <c r="F12" i="1"/>
  <c r="F248" i="1"/>
  <c r="F25" i="1"/>
  <c r="F87" i="1"/>
  <c r="F134" i="1"/>
  <c r="F76" i="1"/>
  <c r="F84" i="1"/>
  <c r="F18" i="1"/>
  <c r="F183" i="1"/>
  <c r="F98" i="1"/>
  <c r="F181" i="1"/>
  <c r="F244" i="1"/>
  <c r="F243" i="1"/>
  <c r="F26" i="1"/>
  <c r="F242" i="1"/>
  <c r="F13" i="1"/>
  <c r="F21" i="1"/>
  <c r="F135" i="1"/>
  <c r="F182" i="1"/>
  <c r="F245" i="1"/>
  <c r="F91" i="1"/>
  <c r="F20" i="1"/>
  <c r="F79" i="1"/>
  <c r="F107" i="1"/>
  <c r="F70" i="1"/>
  <c r="F143" i="1"/>
  <c r="F187" i="1"/>
  <c r="F239" i="1"/>
  <c r="F115" i="1"/>
  <c r="F145" i="1" l="1"/>
  <c r="F249" i="1"/>
  <c r="F238" i="1"/>
  <c r="F64" i="1"/>
  <c r="F93" i="1"/>
  <c r="F8" i="1"/>
  <c r="F83" i="1"/>
  <c r="F96" i="1"/>
  <c r="F328" i="1"/>
  <c r="F59" i="1"/>
  <c r="F240" i="1"/>
  <c r="F85" i="1"/>
  <c r="F68" i="1"/>
  <c r="F89" i="1"/>
  <c r="F48" i="1"/>
  <c r="F71" i="1"/>
  <c r="F90" i="1"/>
  <c r="F184" i="1"/>
  <c r="F86" i="1"/>
  <c r="F77" i="1"/>
  <c r="F82" i="1"/>
  <c r="F37" i="1"/>
  <c r="H15" i="1"/>
  <c r="F80" i="1"/>
  <c r="F95" i="1"/>
  <c r="F103" i="1"/>
  <c r="F75" i="1"/>
  <c r="F126" i="1"/>
  <c r="F62" i="1"/>
  <c r="F104" i="1"/>
  <c r="F88" i="1"/>
  <c r="F16" i="1"/>
  <c r="F7" i="1"/>
  <c r="F329" i="1"/>
  <c r="F330" i="1"/>
  <c r="F69" i="1"/>
  <c r="F9" i="1"/>
  <c r="F11" i="1"/>
  <c r="F30" i="1"/>
  <c r="F32" i="1"/>
  <c r="F97" i="1"/>
  <c r="F326" i="1"/>
  <c r="F132" i="1"/>
  <c r="F17" i="1"/>
  <c r="F33" i="1"/>
  <c r="F74" i="1"/>
  <c r="F234" i="1"/>
  <c r="F250" i="1"/>
  <c r="F73" i="1"/>
  <c r="F63" i="1"/>
  <c r="F23" i="1"/>
  <c r="F52" i="1"/>
  <c r="F35" i="1"/>
  <c r="F101" i="1"/>
  <c r="F277" i="1"/>
  <c r="F252" i="1"/>
  <c r="F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Alasdair Noble</author>
    <author>Windows User</author>
    <author/>
    <author>tc={55A34A74-E180-4179-92C4-AF7F4475C60C}</author>
    <author>Peter</author>
    <author>User</author>
    <author>tc={31A4E29E-55D9-41B0-9305-6E1E8B453AAB}</author>
    <author>tc={D229EF33-F9D2-44D5-97B6-642E71E62255}</author>
    <author>tc={106D4006-7DCA-47D8-AD1D-D6B4C3356844}</author>
    <author>tc={F8634CFE-28BA-41FA-835C-C3FAC07504F3}</author>
  </authors>
  <commentList>
    <comment ref="I4" authorId="0" shapeId="0" xr:uid="{7A79074B-FB01-4B7A-B8E5-C413B5F7A458}">
      <text>
        <r>
          <rPr>
            <b/>
            <sz val="9"/>
            <color indexed="81"/>
            <rFont val="Tahoma"/>
            <family val="2"/>
          </rPr>
          <t>Alasdair Noble:</t>
        </r>
        <r>
          <rPr>
            <sz val="9"/>
            <color indexed="81"/>
            <rFont val="Tahoma"/>
            <family val="2"/>
          </rPr>
          <t xml:space="preserve">
Yellow background indicates last full measure is between 8 and 10 years ago, and hence soon needs to be updated.
Red background means the last full measure is more than 10 years ago and hence is not valid.</t>
        </r>
      </text>
    </comment>
    <comment ref="X8" authorId="1" shapeId="0" xr:uid="{170C50F7-38B7-473B-B68E-3807AA37FF50}">
      <text>
        <r>
          <rPr>
            <b/>
            <sz val="9"/>
            <color indexed="81"/>
            <rFont val="Tahoma"/>
            <family val="2"/>
          </rPr>
          <t>Windows User:</t>
        </r>
        <r>
          <rPr>
            <sz val="9"/>
            <color indexed="81"/>
            <rFont val="Tahoma"/>
            <family val="2"/>
          </rPr>
          <t xml:space="preserve">
Removal of battery and engine change5/10/22
12/01/2024 Targa bar removed 11kg deducted 
</t>
        </r>
      </text>
    </comment>
    <comment ref="J11" authorId="2" shapeId="0" xr:uid="{6364AA41-CAA7-4774-A606-394B39B5D2C8}">
      <text>
        <r>
          <rPr>
            <sz val="10"/>
            <rFont val="Arial"/>
            <family val="2"/>
          </rPr>
          <t xml:space="preserve">10-Sep-06 davidg
Jib remeasured 14JAN06
--------------------------
</t>
        </r>
      </text>
    </comment>
    <comment ref="K12" authorId="3" shapeId="0" xr:uid="{55A34A74-E180-4179-92C4-AF7F4475C60C}">
      <text>
        <t>[Threaded comment]
Your version of Excel allows you to read this threaded comment; however, any edits to it will get removed if the file is opened in a newer version of Excel. Learn more: https://go.microsoft.com/fwlink/?linkid=870924
Comment:
    Screecher measured by Alex McMillan 11/03/24</t>
      </text>
    </comment>
    <comment ref="CD12" authorId="4" shapeId="0" xr:uid="{49FC946F-B0EE-4C37-8070-8CEF994B6483}">
      <text>
        <r>
          <rPr>
            <b/>
            <sz val="9"/>
            <color indexed="81"/>
            <rFont val="Tahoma"/>
            <family val="2"/>
          </rPr>
          <t>Peter:</t>
        </r>
        <r>
          <rPr>
            <sz val="9"/>
            <color indexed="81"/>
            <rFont val="Tahoma"/>
            <family val="2"/>
          </rPr>
          <t xml:space="preserve">
Big kite inserted for b2bay2107
</t>
        </r>
      </text>
    </comment>
    <comment ref="X26" authorId="5" shapeId="0" xr:uid="{CA48C2ED-FEA7-43BC-BF37-47555D096743}">
      <text>
        <r>
          <rPr>
            <b/>
            <sz val="9"/>
            <color indexed="81"/>
            <rFont val="Tahoma"/>
            <family val="2"/>
          </rPr>
          <t>User:</t>
        </r>
        <r>
          <rPr>
            <sz val="9"/>
            <color indexed="81"/>
            <rFont val="Tahoma"/>
            <family val="2"/>
          </rPr>
          <t xml:space="preserve">
Reduction of sprit 15 kg</t>
        </r>
      </text>
    </comment>
    <comment ref="X38" authorId="1" shapeId="0" xr:uid="{24BCF646-CA5E-4073-92AF-AEDBFCE62C99}">
      <text>
        <r>
          <rPr>
            <b/>
            <sz val="9"/>
            <color indexed="81"/>
            <rFont val="Tahoma"/>
            <family val="2"/>
          </rPr>
          <t>Windows User:</t>
        </r>
        <r>
          <rPr>
            <sz val="9"/>
            <color indexed="81"/>
            <rFont val="Tahoma"/>
            <family val="2"/>
          </rPr>
          <t xml:space="preserve">
No 2 Jib 11Mar21  RJ
25 Kg added RJ 4/08/2022
405 added
Litium batteries etc
</t>
        </r>
      </text>
    </comment>
    <comment ref="X39" authorId="5" shapeId="0" xr:uid="{6AEBB84D-1830-4C1D-8B48-FBC826B537DC}">
      <text>
        <r>
          <rPr>
            <b/>
            <sz val="9"/>
            <color indexed="81"/>
            <rFont val="Tahoma"/>
            <family val="2"/>
          </rPr>
          <t xml:space="preserve">User:less 12 l fuel at weighing, plus 21 cboard not on boat.
</t>
        </r>
        <r>
          <rPr>
            <sz val="9"/>
            <color indexed="81"/>
            <rFont val="Tahoma"/>
            <family val="2"/>
          </rPr>
          <t xml:space="preserve">
</t>
        </r>
      </text>
    </comment>
    <comment ref="I41" authorId="1" shapeId="0" xr:uid="{D587BFB5-AB72-4607-9369-724A26EC0AA7}">
      <text>
        <r>
          <rPr>
            <b/>
            <sz val="9"/>
            <color indexed="81"/>
            <rFont val="Tahoma"/>
            <family val="2"/>
          </rPr>
          <t>Windows User:</t>
        </r>
        <r>
          <rPr>
            <sz val="9"/>
            <color indexed="81"/>
            <rFont val="Tahoma"/>
            <family val="2"/>
          </rPr>
          <t xml:space="preserve">
Weight accepted from paperwork after mods.RJ 6/10/2022
</t>
        </r>
      </text>
    </comment>
    <comment ref="X41" authorId="6" shapeId="0" xr:uid="{31A4E29E-55D9-41B0-9305-6E1E8B453AAB}">
      <text>
        <t>[Threaded comment]
Your version of Excel allows you to read this threaded comment; however, any edits to it will get removed if the file is opened in a newer version of Excel. Learn more: https://go.microsoft.com/fwlink/?linkid=870924
Comment:
    Weight amended - 60kg New batteries</t>
      </text>
    </comment>
    <comment ref="I64" authorId="1" shapeId="0" xr:uid="{B1E06B10-CC25-4056-8F3B-D59D0AFD244E}">
      <text>
        <r>
          <rPr>
            <b/>
            <sz val="9"/>
            <color indexed="81"/>
            <rFont val="Tahoma"/>
            <family val="2"/>
          </rPr>
          <t>Windows User:</t>
        </r>
        <r>
          <rPr>
            <sz val="9"/>
            <color indexed="81"/>
            <rFont val="Tahoma"/>
            <family val="2"/>
          </rPr>
          <t xml:space="preserve">
Old sail measurements accepted
</t>
        </r>
      </text>
    </comment>
    <comment ref="X72" authorId="1" shapeId="0" xr:uid="{D343DA54-A8D5-417B-9583-E1A0EB524D29}">
      <text>
        <r>
          <rPr>
            <b/>
            <sz val="9"/>
            <color indexed="81"/>
            <rFont val="Tahoma"/>
            <family val="2"/>
          </rPr>
          <t>Windows User:</t>
        </r>
        <r>
          <rPr>
            <sz val="9"/>
            <color indexed="81"/>
            <rFont val="Tahoma"/>
            <family val="2"/>
          </rPr>
          <t xml:space="preserve">
25 kg Safety gear added 12/08/2023
RJ</t>
        </r>
      </text>
    </comment>
    <comment ref="CP74" authorId="5" shapeId="0" xr:uid="{C62212F6-62EA-4F12-B89E-C15DF88D5C73}">
      <text>
        <r>
          <rPr>
            <b/>
            <sz val="9"/>
            <color indexed="81"/>
            <rFont val="Tahoma"/>
            <family val="2"/>
          </rPr>
          <t>User:</t>
        </r>
        <r>
          <rPr>
            <sz val="9"/>
            <color indexed="81"/>
            <rFont val="Tahoma"/>
            <family val="2"/>
          </rPr>
          <t xml:space="preserve">
B2G2018 scr 2 validated S beyer
11sep2019 to smallest screacher
</t>
        </r>
      </text>
    </comment>
    <comment ref="X79" authorId="5" shapeId="0" xr:uid="{2910EE9F-357D-48BC-8E26-BB26ED9F2667}">
      <text>
        <r>
          <rPr>
            <b/>
            <sz val="9"/>
            <color indexed="81"/>
            <rFont val="Tahoma"/>
            <family val="2"/>
          </rPr>
          <t>User:</t>
        </r>
        <r>
          <rPr>
            <sz val="9"/>
            <color indexed="81"/>
            <rFont val="Tahoma"/>
            <family val="2"/>
          </rPr>
          <t xml:space="preserve">
Sandringham Nats reduce
</t>
        </r>
      </text>
    </comment>
    <comment ref="I81" authorId="1" shapeId="0" xr:uid="{5986566C-A652-472A-8CB5-67FF753E8091}">
      <text>
        <r>
          <rPr>
            <b/>
            <sz val="9"/>
            <color indexed="81"/>
            <rFont val="Tahoma"/>
            <family val="2"/>
          </rPr>
          <t>Windows User:</t>
        </r>
        <r>
          <rPr>
            <sz val="9"/>
            <color indexed="81"/>
            <rFont val="Tahoma"/>
            <family val="2"/>
          </rPr>
          <t xml:space="preserve">
Weight Only
</t>
        </r>
      </text>
    </comment>
    <comment ref="X83" authorId="7" shapeId="0" xr:uid="{D229EF33-F9D2-44D5-97B6-642E71E62255}">
      <text>
        <t>[Threaded comment]
Your version of Excel allows you to read this threaded comment; however, any edits to it will get removed if the file is opened in a newer version of Excel. Learn more: https://go.microsoft.com/fwlink/?linkid=870924
Comment:
    8kg added for new outboard</t>
      </text>
    </comment>
    <comment ref="CP83" authorId="5" shapeId="0" xr:uid="{098A265E-D651-47E2-8771-DC4C02F359B5}">
      <text>
        <r>
          <rPr>
            <b/>
            <sz val="9"/>
            <color indexed="81"/>
            <rFont val="Tahoma"/>
            <family val="2"/>
          </rPr>
          <t>User:</t>
        </r>
        <r>
          <rPr>
            <sz val="9"/>
            <color indexed="81"/>
            <rFont val="Tahoma"/>
            <family val="2"/>
          </rPr>
          <t xml:space="preserve">
B2G 2018 validated Scr2
</t>
        </r>
      </text>
    </comment>
    <comment ref="X97" authorId="5" shapeId="0" xr:uid="{9D973715-E2D1-45E2-B072-8D374E613D93}">
      <text>
        <r>
          <rPr>
            <b/>
            <sz val="9"/>
            <color indexed="81"/>
            <rFont val="Tahoma"/>
            <family val="2"/>
          </rPr>
          <t>User:</t>
        </r>
        <r>
          <rPr>
            <sz val="9"/>
            <color indexed="81"/>
            <rFont val="Tahoma"/>
            <family val="2"/>
          </rPr>
          <t xml:space="preserve">
Reduction by C Meredith
</t>
        </r>
      </text>
    </comment>
    <comment ref="K100" authorId="8" shapeId="0" xr:uid="{106D4006-7DCA-47D8-AD1D-D6B4C3356844}">
      <text>
        <t>[Threaded comment]
Your version of Excel allows you to read this threaded comment; however, any edits to it will get removed if the file is opened in a newer version of Excel. Learn more: https://go.microsoft.com/fwlink/?linkid=870924
Comment:
    Screecher measured by Alex McMillan 11/03/24</t>
      </text>
    </comment>
    <comment ref="CD100" authorId="4" shapeId="0" xr:uid="{CC8D5370-FE33-4CA5-99A4-6EB8A5B117F0}">
      <text>
        <r>
          <rPr>
            <b/>
            <sz val="9"/>
            <color indexed="81"/>
            <rFont val="Tahoma"/>
            <family val="2"/>
          </rPr>
          <t>Peter:</t>
        </r>
        <r>
          <rPr>
            <sz val="9"/>
            <color indexed="81"/>
            <rFont val="Tahoma"/>
            <family val="2"/>
          </rPr>
          <t xml:space="preserve">
Big kite inserted for b2bay2107
</t>
        </r>
      </text>
    </comment>
    <comment ref="J103" authorId="2" shapeId="0" xr:uid="{6717DA4C-C928-4C05-83D8-16DDDB5F3258}">
      <text>
        <r>
          <rPr>
            <sz val="10"/>
            <rFont val="Arial"/>
            <family val="2"/>
          </rPr>
          <t>10-Sep-06 davidg
Modified main not verified ?
--------------------------
10-Sep-06 davidg
Jib to be replaced Sep06
--------------------------
10-Sep-06 davidg
Rudder modified- Weight change ??
-----------
16-Nov-06 Jib (J02) measured &amp; 
Boat reweighed
----------------
30-Dec-06 New GM Main, Rope rigging
reduced weight by 10kg</t>
        </r>
      </text>
    </comment>
    <comment ref="X106" authorId="9" shapeId="0" xr:uid="{F8634CFE-28BA-41FA-835C-C3FAC07504F3}">
      <text>
        <t xml:space="preserve">[Threaded comment]
Your version of Excel allows you to read this threaded comment; however, any edits to it will get removed if the file is opened in a newer version of Excel. Learn more: https://go.microsoft.com/fwlink/?linkid=870924
Comment:
    Weight increased by 137 as 2 more sails added
</t>
      </text>
    </comment>
    <comment ref="BL106" authorId="1" shapeId="0" xr:uid="{9D15563D-1CAD-4093-A1B5-300CF1D19E05}">
      <text>
        <r>
          <rPr>
            <b/>
            <sz val="9"/>
            <color indexed="81"/>
            <rFont val="Tahoma"/>
            <family val="2"/>
          </rPr>
          <t>Windows User:</t>
        </r>
        <r>
          <rPr>
            <sz val="9"/>
            <color indexed="81"/>
            <rFont val="Tahoma"/>
            <family val="2"/>
          </rPr>
          <t xml:space="preserve">
3 headsails this is largest
</t>
        </r>
      </text>
    </comment>
    <comment ref="X111" authorId="1" shapeId="0" xr:uid="{BEC8E53D-F041-455C-BD5F-B3B6E82E3151}">
      <text>
        <r>
          <rPr>
            <b/>
            <sz val="9"/>
            <color indexed="81"/>
            <rFont val="Tahoma"/>
            <family val="2"/>
          </rPr>
          <t>Windows User:</t>
        </r>
        <r>
          <rPr>
            <sz val="9"/>
            <color indexed="81"/>
            <rFont val="Tahoma"/>
            <family val="2"/>
          </rPr>
          <t xml:space="preserve">
40kg deducted for spinnaker not carried.
15/03/2021 RJ</t>
        </r>
      </text>
    </comment>
    <comment ref="J113" authorId="2" shapeId="0" xr:uid="{5F8FD41C-2839-4055-B5BB-5DC2D0C1B189}">
      <text>
        <r>
          <rPr>
            <sz val="10"/>
            <rFont val="Arial"/>
            <family val="2"/>
          </rPr>
          <t>Geoff Cruse:
20 sept 06 New genoa</t>
        </r>
      </text>
    </comment>
    <comment ref="I116" authorId="1" shapeId="0" xr:uid="{F340E044-CDBD-4DBF-BD82-DDF3445EF87F}">
      <text>
        <r>
          <rPr>
            <b/>
            <sz val="9"/>
            <color indexed="81"/>
            <rFont val="Tahoma"/>
            <family val="2"/>
          </rPr>
          <t>Windows User:</t>
        </r>
        <r>
          <rPr>
            <sz val="9"/>
            <color indexed="81"/>
            <rFont val="Tahoma"/>
            <family val="2"/>
          </rPr>
          <t xml:space="preserve">
Weight only</t>
        </r>
      </text>
    </comment>
    <comment ref="J116" authorId="1" shapeId="0" xr:uid="{60FFF7FB-C23F-45FA-B234-CDB179D8698C}">
      <text>
        <r>
          <rPr>
            <b/>
            <sz val="9"/>
            <color indexed="81"/>
            <rFont val="Tahoma"/>
            <family val="2"/>
          </rPr>
          <t>Windows User:</t>
        </r>
        <r>
          <rPr>
            <sz val="9"/>
            <color indexed="81"/>
            <rFont val="Tahoma"/>
            <family val="2"/>
          </rPr>
          <t xml:space="preserve">
Saxby midgirth accepted
</t>
        </r>
      </text>
    </comment>
    <comment ref="X116" authorId="1" shapeId="0" xr:uid="{059E8FD5-F986-437E-8BD2-47752C51AEDD}">
      <text>
        <r>
          <rPr>
            <b/>
            <sz val="9"/>
            <color indexed="81"/>
            <rFont val="Tahoma"/>
            <family val="2"/>
          </rPr>
          <t>Windows User:</t>
        </r>
        <r>
          <rPr>
            <sz val="9"/>
            <color indexed="81"/>
            <rFont val="Tahoma"/>
            <family val="2"/>
          </rPr>
          <t xml:space="preserve">
 small sails (30kg) added RJ 17/01/2022.
New engine 29kg addedRJ 3/08/2022
20 kg spare anchor
</t>
        </r>
      </text>
    </comment>
    <comment ref="J128" authorId="2" shapeId="0" xr:uid="{6D9FBF62-296F-49B9-94ED-19FEBB0E5634}">
      <text>
        <r>
          <rPr>
            <sz val="10"/>
            <rFont val="Arial"/>
            <family val="2"/>
          </rPr>
          <t>10-Sep-06 davidg
Sails remeasured JAN06
--------------------------</t>
        </r>
      </text>
    </comment>
    <comment ref="J129" authorId="2" shapeId="0" xr:uid="{05D1630C-BA5C-45E3-ABCA-F92B740E28A7}">
      <text>
        <r>
          <rPr>
            <sz val="10"/>
            <rFont val="Arial"/>
            <family val="2"/>
          </rPr>
          <t>10-Sep-06 davidg
Sails remeasured JAN06
--------------------------</t>
        </r>
      </text>
    </comment>
    <comment ref="BM132" authorId="5" shapeId="0" xr:uid="{8BA2F671-F071-4C8C-AB1E-8E36BF844945}">
      <text>
        <r>
          <rPr>
            <b/>
            <sz val="9"/>
            <color indexed="81"/>
            <rFont val="Tahoma"/>
            <family val="2"/>
          </rPr>
          <t>User:</t>
        </r>
        <r>
          <rPr>
            <sz val="9"/>
            <color indexed="81"/>
            <rFont val="Tahoma"/>
            <family val="2"/>
          </rPr>
          <t xml:space="preserve">
Spreader hollow reduce by .25</t>
        </r>
      </text>
    </comment>
    <comment ref="CI133" authorId="5" shapeId="0" xr:uid="{D79A9F18-2762-4428-9D9F-03E084EB343C}">
      <text>
        <r>
          <rPr>
            <b/>
            <sz val="9"/>
            <color indexed="81"/>
            <rFont val="Tahoma"/>
            <family val="2"/>
          </rPr>
          <t>User:</t>
        </r>
        <r>
          <rPr>
            <sz val="9"/>
            <color indexed="81"/>
            <rFont val="Tahoma"/>
            <family val="2"/>
          </rPr>
          <t xml:space="preserve">
Smaller kite valid 16/1/18
Area 145.2
 </t>
        </r>
      </text>
    </comment>
    <comment ref="CI134" authorId="5" shapeId="0" xr:uid="{46A3048F-2EB3-43B4-9312-A8DBD015A6F9}">
      <text>
        <r>
          <rPr>
            <b/>
            <sz val="9"/>
            <color indexed="81"/>
            <rFont val="Tahoma"/>
            <family val="2"/>
          </rPr>
          <t>User:</t>
        </r>
        <r>
          <rPr>
            <sz val="9"/>
            <color indexed="81"/>
            <rFont val="Tahoma"/>
            <family val="2"/>
          </rPr>
          <t xml:space="preserve">
Smaller kite valid 16/1/18
Area 145.2
 </t>
        </r>
      </text>
    </comment>
    <comment ref="AZ136" authorId="5" shapeId="0" xr:uid="{95552B28-1F99-449D-BFC6-F1EE4E2B07EA}">
      <text>
        <r>
          <rPr>
            <b/>
            <sz val="9"/>
            <color indexed="81"/>
            <rFont val="Tahoma"/>
            <family val="2"/>
          </rPr>
          <t>User:</t>
        </r>
        <r>
          <rPr>
            <sz val="9"/>
            <color indexed="81"/>
            <rFont val="Tahoma"/>
            <family val="2"/>
          </rPr>
          <t xml:space="preserve">
Formula added 2.46 manually sweeper
</t>
        </r>
      </text>
    </comment>
    <comment ref="X138" authorId="5" shapeId="0" xr:uid="{AF005009-B89E-4E58-988F-8AE7E04108BF}">
      <text>
        <r>
          <rPr>
            <b/>
            <sz val="9"/>
            <color indexed="81"/>
            <rFont val="Tahoma"/>
            <family val="2"/>
          </rPr>
          <t>User:</t>
        </r>
        <r>
          <rPr>
            <sz val="9"/>
            <color indexed="81"/>
            <rFont val="Tahoma"/>
            <family val="2"/>
          </rPr>
          <t xml:space="preserve">
Declared motor swap plus 7 kg</t>
        </r>
      </text>
    </comment>
    <comment ref="X141" authorId="5" shapeId="0" xr:uid="{F0355A79-2E34-4191-B780-FF4F6DFF6737}">
      <text>
        <r>
          <rPr>
            <b/>
            <sz val="9"/>
            <color indexed="81"/>
            <rFont val="Tahoma"/>
            <family val="2"/>
          </rPr>
          <t>User:</t>
        </r>
        <r>
          <rPr>
            <sz val="9"/>
            <color indexed="81"/>
            <rFont val="Tahoma"/>
            <family val="2"/>
          </rPr>
          <t xml:space="preserve">
C Meredith reduction note
</t>
        </r>
      </text>
    </comment>
    <comment ref="X143" authorId="1" shapeId="0" xr:uid="{624C3665-5343-40E6-B8CC-30A07891F083}">
      <text>
        <r>
          <rPr>
            <b/>
            <sz val="9"/>
            <color indexed="81"/>
            <rFont val="Tahoma"/>
            <family val="2"/>
          </rPr>
          <t>Windows User:</t>
        </r>
        <r>
          <rPr>
            <sz val="9"/>
            <color indexed="81"/>
            <rFont val="Tahoma"/>
            <family val="2"/>
          </rPr>
          <t xml:space="preserve">
167kg added for added equipment.
RJ
</t>
        </r>
      </text>
    </comment>
    <comment ref="X235" authorId="5" shapeId="0" xr:uid="{7864442E-D194-4681-9E5B-CBF69DEDEBC1}">
      <text>
        <r>
          <rPr>
            <b/>
            <sz val="9"/>
            <color indexed="81"/>
            <rFont val="Tahoma"/>
            <family val="2"/>
          </rPr>
          <t>User:</t>
        </r>
        <r>
          <rPr>
            <sz val="9"/>
            <color indexed="81"/>
            <rFont val="Tahoma"/>
            <family val="2"/>
          </rPr>
          <t xml:space="preserve">
Reduced weight 23 kg Dale Wangi remove big screacher. </t>
        </r>
      </text>
    </comment>
    <comment ref="J270" authorId="2" shapeId="0" xr:uid="{CF1F6517-D765-452D-A81F-F4844EDA6E9F}">
      <text>
        <r>
          <rPr>
            <sz val="10"/>
            <rFont val="Arial"/>
            <family val="2"/>
          </rPr>
          <t>21-Sep-07 geoffrey
--------------------------
21-Sep-07 geoffrey
Headsail area has been calculated seperately and the LL used for AR calcs only
--------------------------</t>
        </r>
      </text>
    </comment>
    <comment ref="J274" authorId="2" shapeId="0" xr:uid="{63C6A258-C256-426D-BDDD-7CE1225744FC}">
      <text>
        <r>
          <rPr>
            <sz val="10"/>
            <rFont val="Arial"/>
            <family val="2"/>
          </rPr>
          <t>10-Sep-06 davidg
Jib remeasured 14JAN06
--------------------------</t>
        </r>
      </text>
    </comment>
    <comment ref="J288" authorId="2" shapeId="0" xr:uid="{E99BFF77-F2A1-47F6-A5D7-51279C21FF26}">
      <text>
        <r>
          <rPr>
            <sz val="10"/>
            <rFont val="Arial"/>
            <family val="2"/>
          </rPr>
          <t>17-Jan-07 geoffrey
Reweighed by R. Jenkins (3748) WE 23
--------------------------</t>
        </r>
      </text>
    </comment>
    <comment ref="J308" authorId="2" shapeId="0" xr:uid="{22E00CFC-1017-4DC6-A658-3E6ACFD60B62}">
      <text>
        <r>
          <rPr>
            <sz val="10"/>
            <rFont val="Arial"/>
            <family val="2"/>
          </rPr>
          <t>17-Jan-07 geoffrey
--------------------------
28-Sep-07 geoffrey
--------------------------</t>
        </r>
      </text>
    </comment>
    <comment ref="X315" authorId="5" shapeId="0" xr:uid="{F5A8032D-372C-47CA-ABF8-54A26C9650C1}">
      <text>
        <r>
          <rPr>
            <b/>
            <sz val="9"/>
            <color indexed="81"/>
            <rFont val="Tahoma"/>
            <family val="2"/>
          </rPr>
          <t>User:</t>
        </r>
        <r>
          <rPr>
            <sz val="9"/>
            <color indexed="81"/>
            <rFont val="Tahoma"/>
            <family val="2"/>
          </rPr>
          <t xml:space="preserve">
Rudder surgery reduced by 14.5 kg
</t>
        </r>
      </text>
    </comment>
    <comment ref="AZ315" authorId="5" shapeId="0" xr:uid="{185B54E9-3E9D-4E52-BCCD-B0C179151338}">
      <text>
        <r>
          <rPr>
            <b/>
            <sz val="9"/>
            <color indexed="81"/>
            <rFont val="Tahoma"/>
            <family val="2"/>
          </rPr>
          <t>User:</t>
        </r>
        <r>
          <rPr>
            <sz val="9"/>
            <color indexed="81"/>
            <rFont val="Tahoma"/>
            <family val="2"/>
          </rPr>
          <t xml:space="preserve">
Manually added 2.4 for sweeper
+ triangle below 16/10/18</t>
        </r>
      </text>
    </comment>
    <comment ref="BA315" authorId="5" shapeId="0" xr:uid="{4C57FF86-EA50-47D2-9D35-AF3371E4A531}">
      <text>
        <r>
          <rPr>
            <b/>
            <sz val="9"/>
            <color indexed="81"/>
            <rFont val="Tahoma"/>
            <family val="2"/>
          </rPr>
          <t>User:</t>
        </r>
        <r>
          <rPr>
            <sz val="9"/>
            <color indexed="81"/>
            <rFont val="Tahoma"/>
            <family val="2"/>
          </rPr>
          <t xml:space="preserve">
Measured S. Beyer 7/8/18</t>
        </r>
      </text>
    </comment>
    <comment ref="J319" authorId="2" shapeId="0" xr:uid="{EECC0A48-1729-4ABD-9E29-5580424C635B}">
      <text>
        <r>
          <rPr>
            <sz val="10"/>
            <rFont val="Arial"/>
            <family val="2"/>
          </rPr>
          <t>28-Sep-07 geoffrey
--------------------------</t>
        </r>
      </text>
    </comment>
    <comment ref="J325" authorId="2" shapeId="0" xr:uid="{494467EE-3859-4F35-9178-CF6C764E3E6F}">
      <text>
        <r>
          <rPr>
            <sz val="10"/>
            <rFont val="Arial"/>
            <family val="2"/>
          </rPr>
          <t>10-Sep-06 davidg
reweighed 14JAN06
--------------------------
31-Jan-08 geoffrey
22 Jan 08 new mainsail
--------------------------</t>
        </r>
      </text>
    </comment>
    <comment ref="J327" authorId="2" shapeId="0" xr:uid="{54C0942D-A6A8-4239-A2B4-7108F228AC26}">
      <text>
        <r>
          <rPr>
            <sz val="10"/>
            <rFont val="Arial"/>
            <family val="2"/>
          </rPr>
          <t>Geoff Cruse:
6 Oct 06 Changes to main and genoa</t>
        </r>
      </text>
    </comment>
    <comment ref="CP330" authorId="5" shapeId="0" xr:uid="{BDD9FA08-30E4-4FBB-9B6B-D7EED9A69939}">
      <text>
        <r>
          <rPr>
            <b/>
            <sz val="9"/>
            <color indexed="81"/>
            <rFont val="Tahoma"/>
            <family val="2"/>
          </rPr>
          <t>User:</t>
        </r>
        <r>
          <rPr>
            <sz val="9"/>
            <color indexed="81"/>
            <rFont val="Tahoma"/>
            <family val="2"/>
          </rPr>
          <t xml:space="preserve">
MBMR change to Scr 2</t>
        </r>
      </text>
    </comment>
  </commentList>
</comments>
</file>

<file path=xl/sharedStrings.xml><?xml version="1.0" encoding="utf-8"?>
<sst xmlns="http://schemas.openxmlformats.org/spreadsheetml/2006/main" count="3764" uniqueCount="1220">
  <si>
    <t xml:space="preserve">     User Agreement: By using this spreadsheet or the data contained therein in any manner, the user agrees with the following terms and conditions: Copyright: ©This spreadsheet and the OMR rating system was developed by club officers of MYCQ (inc) and copyright is claimed by MYCQ (inc). The user acknowledges this copyright. Acknowledgement: The user agrees to acknowledge MYCQ (inc) for its role in developing this spreadsheet and the OMR rating system whenever the user reports or publishes any of the contents or race results or vessel ratings based in whole or in part on data from this spreadsheet or copies thereof.</t>
  </si>
  <si>
    <t>Basic Information</t>
  </si>
  <si>
    <t>Length</t>
  </si>
  <si>
    <t>Weight</t>
  </si>
  <si>
    <t>Drag / Lift Modifying Factors</t>
  </si>
  <si>
    <t>Mainsail</t>
  </si>
  <si>
    <t>Mizzen / Second Main</t>
  </si>
  <si>
    <t>Largest Headsail On Forestay</t>
  </si>
  <si>
    <r>
      <t>Staysail</t>
    </r>
    <r>
      <rPr>
        <sz val="9"/>
        <color theme="1"/>
        <rFont val="Verdana"/>
        <family val="2"/>
      </rPr>
      <t xml:space="preserve">
(Unhide
Columns</t>
    </r>
  </si>
  <si>
    <r>
      <t>Drifter</t>
    </r>
    <r>
      <rPr>
        <sz val="9"/>
        <color theme="1"/>
        <rFont val="Verdana"/>
        <family val="2"/>
      </rPr>
      <t xml:space="preserve">
If
Needed)</t>
    </r>
  </si>
  <si>
    <t>Largest Spinnaker</t>
  </si>
  <si>
    <t>Largest Screacher</t>
  </si>
  <si>
    <t>If More than One Screacher is Carried - 
Smallest Screacher</t>
  </si>
  <si>
    <t>Efficiencies / Rated Areas of Sails</t>
  </si>
  <si>
    <t>Sail Plan</t>
  </si>
  <si>
    <t>RSA Component Calculations</t>
  </si>
  <si>
    <t>Rated Sail Area</t>
  </si>
  <si>
    <t>Event</t>
  </si>
  <si>
    <t>Boat Name</t>
  </si>
  <si>
    <t>Design</t>
  </si>
  <si>
    <t>Owner Name</t>
  </si>
  <si>
    <t>OMR
Rating</t>
  </si>
  <si>
    <t>OMR Valid?</t>
  </si>
  <si>
    <t>Configuration Allowable</t>
  </si>
  <si>
    <t>Last Weighing Date</t>
  </si>
  <si>
    <t>Latest Update</t>
  </si>
  <si>
    <t>Measurer</t>
  </si>
  <si>
    <t>Rating Officer</t>
  </si>
  <si>
    <t>Comment (Updates Made, Items to Check etc)</t>
  </si>
  <si>
    <t>Boat Type</t>
  </si>
  <si>
    <t>Sub Type</t>
  </si>
  <si>
    <t>BOA Beam 
Overall</t>
  </si>
  <si>
    <t>LOA (Main Hull)</t>
  </si>
  <si>
    <t>LOAA (Ama)</t>
  </si>
  <si>
    <t>HCE</t>
  </si>
  <si>
    <t>FOC</t>
  </si>
  <si>
    <t>AOC</t>
  </si>
  <si>
    <t>RL
Rated length</t>
  </si>
  <si>
    <t>RF
Length Factor</t>
  </si>
  <si>
    <t>WM</t>
  </si>
  <si>
    <t>WP Weight Penalty</t>
  </si>
  <si>
    <t>WE</t>
  </si>
  <si>
    <t>WCD Crew Weight Declared</t>
  </si>
  <si>
    <t>NC Number of Crew Declared</t>
  </si>
  <si>
    <t>TCW Total Crew Weight</t>
  </si>
  <si>
    <t>CWA Crew Weight Allowance</t>
  </si>
  <si>
    <t>WS</t>
  </si>
  <si>
    <t>RW</t>
  </si>
  <si>
    <t>DB/CB/Fin Factor</t>
  </si>
  <si>
    <t>Foil Factor</t>
  </si>
  <si>
    <t>Prop
Factor</t>
  </si>
  <si>
    <t>Windage Factor</t>
  </si>
  <si>
    <t>DLF Drag/Lift
Factor</t>
  </si>
  <si>
    <t>ML1</t>
  </si>
  <si>
    <t>ML2</t>
  </si>
  <si>
    <t>LPM</t>
  </si>
  <si>
    <t>HB</t>
  </si>
  <si>
    <t>RDM</t>
  </si>
  <si>
    <t>P</t>
  </si>
  <si>
    <t>PR</t>
  </si>
  <si>
    <t>E</t>
  </si>
  <si>
    <t>ER</t>
  </si>
  <si>
    <t>MC</t>
  </si>
  <si>
    <t>BATT</t>
  </si>
  <si>
    <t>Sail
ID#</t>
  </si>
  <si>
    <t>VLM</t>
  </si>
  <si>
    <t>MAM</t>
  </si>
  <si>
    <t>AM Area
Main</t>
  </si>
  <si>
    <t>RSAMz
Mizzen</t>
  </si>
  <si>
    <t>RSA2M
Main #2</t>
  </si>
  <si>
    <t>LL</t>
  </si>
  <si>
    <t>LPG</t>
  </si>
  <si>
    <t>FG</t>
  </si>
  <si>
    <t>FRG</t>
  </si>
  <si>
    <t>LG1</t>
  </si>
  <si>
    <t>LG2</t>
  </si>
  <si>
    <t>HG
Head
Board</t>
  </si>
  <si>
    <t>LRG
Leech
Round</t>
  </si>
  <si>
    <t>LLRG
Luff
Round</t>
  </si>
  <si>
    <t>AG Area Genoa</t>
  </si>
  <si>
    <t>LLs</t>
  </si>
  <si>
    <t>LPs</t>
  </si>
  <si>
    <t>Fs</t>
  </si>
  <si>
    <t>FRs</t>
  </si>
  <si>
    <t>Ls</t>
  </si>
  <si>
    <t>LRs</t>
  </si>
  <si>
    <t>LLRs</t>
  </si>
  <si>
    <t>AS Area Staysail</t>
  </si>
  <si>
    <t>LLd</t>
  </si>
  <si>
    <t>LPd</t>
  </si>
  <si>
    <t>FD</t>
  </si>
  <si>
    <t>FRD</t>
  </si>
  <si>
    <t>LCHD</t>
  </si>
  <si>
    <t>LRD</t>
  </si>
  <si>
    <t>LLRD</t>
  </si>
  <si>
    <t>AD Area Drifter</t>
  </si>
  <si>
    <t>SF</t>
  </si>
  <si>
    <t>SL1</t>
  </si>
  <si>
    <t>SL2</t>
  </si>
  <si>
    <t>SMG</t>
  </si>
  <si>
    <t>PCSMG SMG %</t>
  </si>
  <si>
    <t>Sail Colour</t>
  </si>
  <si>
    <t>MSASp Area
Spin</t>
  </si>
  <si>
    <t>SCRF</t>
  </si>
  <si>
    <t>SCRL1</t>
  </si>
  <si>
    <t>SCRL2</t>
  </si>
  <si>
    <t>SCRMG</t>
  </si>
  <si>
    <t>PSCR ScrMG %</t>
  </si>
  <si>
    <t>MSASC Area Screacher</t>
  </si>
  <si>
    <t>Classed as an Upwind Screacher?</t>
  </si>
  <si>
    <t>ELSC Utility of Largest Screacher</t>
  </si>
  <si>
    <t>USCRF</t>
  </si>
  <si>
    <t>USCRL1</t>
  </si>
  <si>
    <t>USCRL2</t>
  </si>
  <si>
    <t>USCRMG</t>
  </si>
  <si>
    <t>PUSCR ScrMG %</t>
  </si>
  <si>
    <t>EUSC Utility of Upwind Screacher</t>
  </si>
  <si>
    <t>MSAUSC Area Upwind Screacher</t>
  </si>
  <si>
    <t>EFM
Main
Effic'y</t>
  </si>
  <si>
    <t>RSAM
Main</t>
  </si>
  <si>
    <t>EFG
Genoa
Effic'y</t>
  </si>
  <si>
    <t>RSAG
Genoa</t>
  </si>
  <si>
    <t>ZVAL
Effic</t>
  </si>
  <si>
    <t>EFS
Stays'l
Effic'y</t>
  </si>
  <si>
    <t>RSASt
Stays'l</t>
  </si>
  <si>
    <t>EFD
Drifter
Effic'y</t>
  </si>
  <si>
    <t>RSAD
Drifter</t>
  </si>
  <si>
    <t>FLSCR
Screacher</t>
  </si>
  <si>
    <t>FLSPI Valid
Spinn</t>
  </si>
  <si>
    <t>SPC Sail Plan Code</t>
  </si>
  <si>
    <t>RAMG M&amp;G</t>
  </si>
  <si>
    <t>RASPO Spin Only</t>
  </si>
  <si>
    <t>RASCO Scr Only</t>
  </si>
  <si>
    <t>RASPSC Spin 
with Scr</t>
  </si>
  <si>
    <t>RASCR Scr with Spin</t>
  </si>
  <si>
    <t>RAUSC Upwind Screacher</t>
  </si>
  <si>
    <t>Offwind M&amp;G</t>
  </si>
  <si>
    <t xml:space="preserve">RSA </t>
  </si>
  <si>
    <t>4PLAY</t>
  </si>
  <si>
    <t>Corsair 760</t>
  </si>
  <si>
    <t>Paul Stringer</t>
  </si>
  <si>
    <t>S. Barton</t>
  </si>
  <si>
    <t>P.Hackett</t>
  </si>
  <si>
    <t>Tri</t>
  </si>
  <si>
    <t>Trail</t>
  </si>
  <si>
    <t>Daggerboards</t>
  </si>
  <si>
    <t>None</t>
  </si>
  <si>
    <t>Out of Water</t>
  </si>
  <si>
    <t>Full</t>
  </si>
  <si>
    <t>SC760</t>
  </si>
  <si>
    <t>Agape</t>
  </si>
  <si>
    <t>Farrier F82R</t>
  </si>
  <si>
    <t>Rod White</t>
  </si>
  <si>
    <t>S. Beyer</t>
  </si>
  <si>
    <t>Farrier</t>
  </si>
  <si>
    <t>Swing C'Board</t>
  </si>
  <si>
    <t>Airplay</t>
  </si>
  <si>
    <t>Grainger Airplay</t>
  </si>
  <si>
    <t>David Renouf</t>
  </si>
  <si>
    <t>Z.Peters</t>
  </si>
  <si>
    <t>Angus</t>
  </si>
  <si>
    <t>Extreme 40</t>
  </si>
  <si>
    <t>Michel Van Der Zwaard</t>
  </si>
  <si>
    <t>D. Chittleborough</t>
  </si>
  <si>
    <t>R. Jenkins</t>
  </si>
  <si>
    <t>Cat</t>
  </si>
  <si>
    <t>Aquila</t>
  </si>
  <si>
    <t>Pescott Whitehaven 11</t>
  </si>
  <si>
    <t>Mark Johns</t>
  </si>
  <si>
    <t>P Boyd</t>
  </si>
  <si>
    <t>G.Scott</t>
  </si>
  <si>
    <t>YC241</t>
  </si>
  <si>
    <t>Attitude</t>
  </si>
  <si>
    <t>Schionning G Force 15</t>
  </si>
  <si>
    <t>Allan Larkin</t>
  </si>
  <si>
    <t>G E.Cruse</t>
  </si>
  <si>
    <t>R Jenkins</t>
  </si>
  <si>
    <t>2xFeather/Fold</t>
  </si>
  <si>
    <t>RQ1001</t>
  </si>
  <si>
    <t>Avalanche</t>
  </si>
  <si>
    <t>Lidgard</t>
  </si>
  <si>
    <t>Craig Molloy</t>
  </si>
  <si>
    <t>G.E.Cruse</t>
  </si>
  <si>
    <t>Ave Gitana</t>
  </si>
  <si>
    <t>Crowther 40</t>
  </si>
  <si>
    <t>Antonio Pasquale</t>
  </si>
  <si>
    <t>G. Cruse</t>
  </si>
  <si>
    <t>1xFeather/Fold</t>
  </si>
  <si>
    <t>Bare Essentials</t>
  </si>
  <si>
    <t>Grainger</t>
  </si>
  <si>
    <t>Tim Pepperell</t>
  </si>
  <si>
    <t>P. Barker</t>
  </si>
  <si>
    <t>G Scott</t>
  </si>
  <si>
    <t>Bare Necessities</t>
  </si>
  <si>
    <t>Corsair Sprint 750</t>
  </si>
  <si>
    <t>Peter Bradford</t>
  </si>
  <si>
    <t>D. Renouf</t>
  </si>
  <si>
    <t>Barefoot</t>
  </si>
  <si>
    <t>Warren Innes</t>
  </si>
  <si>
    <t>BFC55</t>
  </si>
  <si>
    <t>Beau Geste</t>
  </si>
  <si>
    <t>Mod 70</t>
  </si>
  <si>
    <t>Karl Kwok</t>
  </si>
  <si>
    <t>Big Bird</t>
  </si>
  <si>
    <t xml:space="preserve">Grainger MTB 920 </t>
  </si>
  <si>
    <t>Guy Badgery</t>
  </si>
  <si>
    <t>P. Hackett</t>
  </si>
  <si>
    <t>BB2U</t>
  </si>
  <si>
    <t>T1</t>
  </si>
  <si>
    <t>Boom</t>
  </si>
  <si>
    <t xml:space="preserve">Farrier F22 </t>
  </si>
  <si>
    <t xml:space="preserve">P Steinhardt &amp; K Askew </t>
  </si>
  <si>
    <t>A. Noble</t>
  </si>
  <si>
    <t>J1</t>
  </si>
  <si>
    <t>Saxby</t>
  </si>
  <si>
    <t>Gary Saxby</t>
  </si>
  <si>
    <t>Box Office</t>
  </si>
  <si>
    <t>Box Boat 8.5</t>
  </si>
  <si>
    <t>P. Day</t>
  </si>
  <si>
    <t>Carbon Credit</t>
  </si>
  <si>
    <t>F32SRCX</t>
  </si>
  <si>
    <t>Peter Hawker</t>
  </si>
  <si>
    <t>M Johns</t>
  </si>
  <si>
    <t>SO36</t>
  </si>
  <si>
    <t>S034</t>
  </si>
  <si>
    <t>Cat's Whiskers</t>
  </si>
  <si>
    <t>Jenkins 34</t>
  </si>
  <si>
    <t>Bruce Dickson</t>
  </si>
  <si>
    <t>Charleston</t>
  </si>
  <si>
    <t>F 28</t>
  </si>
  <si>
    <t>Tony Considine</t>
  </si>
  <si>
    <t>Chillpill</t>
  </si>
  <si>
    <t>Wayne Bloomer</t>
  </si>
  <si>
    <t>Closer To God</t>
  </si>
  <si>
    <t xml:space="preserve">Farrier F32 </t>
  </si>
  <si>
    <t>Mark Stafford</t>
  </si>
  <si>
    <t>S.Beyer</t>
  </si>
  <si>
    <t>Coco</t>
  </si>
  <si>
    <t>Ostac Tramp</t>
  </si>
  <si>
    <t>Chris Chapman</t>
  </si>
  <si>
    <t>Shane Russell</t>
  </si>
  <si>
    <t>R Sherwood</t>
  </si>
  <si>
    <t>Coconuts</t>
  </si>
  <si>
    <t>Stealth 12</t>
  </si>
  <si>
    <t>P Hackett</t>
  </si>
  <si>
    <t>R.Jenkins</t>
  </si>
  <si>
    <t>Cosmo</t>
  </si>
  <si>
    <t>Peter Wilcox</t>
  </si>
  <si>
    <t>M Pescott</t>
  </si>
  <si>
    <t>Crosshair</t>
  </si>
  <si>
    <t>Gerald Valk</t>
  </si>
  <si>
    <t>SA432</t>
  </si>
  <si>
    <t>SO 38</t>
  </si>
  <si>
    <t>Cut Snake</t>
  </si>
  <si>
    <t>Stuart Cox</t>
  </si>
  <si>
    <t>B. Kelly</t>
  </si>
  <si>
    <t>Dirty Deeds</t>
  </si>
  <si>
    <t>KiwiBox</t>
  </si>
  <si>
    <t>Michael Van Der Zwaard</t>
  </si>
  <si>
    <t>Double Black Diamond</t>
  </si>
  <si>
    <t>Seawind 1160 Lite</t>
  </si>
  <si>
    <t>Andrew &amp; Aida Stevenson</t>
  </si>
  <si>
    <t>Seawind</t>
  </si>
  <si>
    <t>Fin Keels</t>
  </si>
  <si>
    <t>Dux Nutts</t>
  </si>
  <si>
    <t>P Hawker / P Boyd / I MacDougall</t>
  </si>
  <si>
    <t>S017</t>
  </si>
  <si>
    <t>El Toro</t>
  </si>
  <si>
    <t>Kelly Trimaran</t>
  </si>
  <si>
    <t>Ben Kelly</t>
  </si>
  <si>
    <t>G Cruse</t>
  </si>
  <si>
    <t>F1</t>
  </si>
  <si>
    <t>Eldo</t>
  </si>
  <si>
    <t>Farrier F31`</t>
  </si>
  <si>
    <t>Les Wilson</t>
  </si>
  <si>
    <t>P. Boyd</t>
  </si>
  <si>
    <t>Endorfin</t>
  </si>
  <si>
    <t>Farrier F22</t>
  </si>
  <si>
    <t>John Dowling</t>
  </si>
  <si>
    <t>F 85SR</t>
  </si>
  <si>
    <t>F-1eleven</t>
  </si>
  <si>
    <t>Farrier F24 Mk2</t>
  </si>
  <si>
    <t>Tony Murray</t>
  </si>
  <si>
    <t>Fanarang</t>
  </si>
  <si>
    <t>Mappas Fanga</t>
  </si>
  <si>
    <t>Haydn Turnbull</t>
  </si>
  <si>
    <t>D Chittleborough</t>
  </si>
  <si>
    <t>Fantasia</t>
  </si>
  <si>
    <t>Seven Seas 50</t>
  </si>
  <si>
    <t>Andrew Stransky</t>
  </si>
  <si>
    <t>F-Bomb</t>
  </si>
  <si>
    <t xml:space="preserve">Newick </t>
  </si>
  <si>
    <t>Jayson Jenkinson</t>
  </si>
  <si>
    <t>Fifty-Fifty</t>
  </si>
  <si>
    <t xml:space="preserve">Corsair 28 </t>
  </si>
  <si>
    <t>ex Geoff Floyd</t>
  </si>
  <si>
    <t>C.Meredith</t>
  </si>
  <si>
    <t>Flight Risk</t>
  </si>
  <si>
    <t>Ballistic 8</t>
  </si>
  <si>
    <t>Jamie Saxby</t>
  </si>
  <si>
    <t>Foiler</t>
  </si>
  <si>
    <t>daggerboards</t>
  </si>
  <si>
    <t>none</t>
  </si>
  <si>
    <t>Foxy</t>
  </si>
  <si>
    <t>Lynx 8.8</t>
  </si>
  <si>
    <t>Frank Racing</t>
  </si>
  <si>
    <t>GC 32</t>
  </si>
  <si>
    <t>Simon Hull</t>
  </si>
  <si>
    <t>o8-Aug-16</t>
  </si>
  <si>
    <t>Curved</t>
  </si>
  <si>
    <t>Frassld</t>
  </si>
  <si>
    <t>Farrier F31</t>
  </si>
  <si>
    <t>Shaun Fishley</t>
  </si>
  <si>
    <t>George Bulka</t>
  </si>
  <si>
    <t>V4-2</t>
  </si>
  <si>
    <t>Freelance</t>
  </si>
  <si>
    <t>F 82R</t>
  </si>
  <si>
    <t>Neville McElroy</t>
  </si>
  <si>
    <t>1</t>
  </si>
  <si>
    <t>Pescott Firefly</t>
  </si>
  <si>
    <t>Full Bore</t>
  </si>
  <si>
    <t>F-9A</t>
  </si>
  <si>
    <t>Peter Hackett</t>
  </si>
  <si>
    <t>Fury Road</t>
  </si>
  <si>
    <t>Diam OD</t>
  </si>
  <si>
    <t>Geoff Cruse</t>
  </si>
  <si>
    <t>G'Nome</t>
  </si>
  <si>
    <t>Grainger 075</t>
  </si>
  <si>
    <t>Terry Archer</t>
  </si>
  <si>
    <t>Goldfinger</t>
  </si>
  <si>
    <t xml:space="preserve"> Farrier F-9A</t>
  </si>
  <si>
    <t>I MacDougall</t>
  </si>
  <si>
    <t>S008</t>
  </si>
  <si>
    <t>SO46</t>
  </si>
  <si>
    <t>Good Times 2</t>
  </si>
  <si>
    <t>Corsair 28 CC</t>
  </si>
  <si>
    <t>Paul Dougherty</t>
  </si>
  <si>
    <t>Hasta La Vista</t>
  </si>
  <si>
    <t>Crow Spec 11</t>
  </si>
  <si>
    <t>Anna-sophie Dhenin</t>
  </si>
  <si>
    <t>009</t>
  </si>
  <si>
    <t>High Voltage</t>
  </si>
  <si>
    <t>Michael Peberdy</t>
  </si>
  <si>
    <t>Hilda</t>
  </si>
  <si>
    <t>Seawind 1160</t>
  </si>
  <si>
    <t>Jeff Dodd</t>
  </si>
  <si>
    <t>Hot Option</t>
  </si>
  <si>
    <t>Corsair Dash 750</t>
  </si>
  <si>
    <t>Richard Parkes</t>
  </si>
  <si>
    <t>Barton/Hackett/Jenkins</t>
  </si>
  <si>
    <t>Indian Chief</t>
  </si>
  <si>
    <t>Grainger Red Raider</t>
  </si>
  <si>
    <t>Geoff Berg / Adrian Relf</t>
  </si>
  <si>
    <t>28/10/2022Old schreecher measurements put on</t>
  </si>
  <si>
    <t>IntrIIgue</t>
  </si>
  <si>
    <t>Farrier F27</t>
  </si>
  <si>
    <t>Anthony Constance</t>
  </si>
  <si>
    <t>It's All Good</t>
  </si>
  <si>
    <t>John Longworth</t>
  </si>
  <si>
    <t>S Russel</t>
  </si>
  <si>
    <t>Jaguar</t>
  </si>
  <si>
    <t>Surtees 22</t>
  </si>
  <si>
    <t>David Vockler</t>
  </si>
  <si>
    <t>Jouvert</t>
  </si>
  <si>
    <t>Pescott Whitehaven 11.7</t>
  </si>
  <si>
    <t>Stephen Barton</t>
  </si>
  <si>
    <t>Shane Beyer</t>
  </si>
  <si>
    <t>Kavala</t>
  </si>
  <si>
    <t>David Ruffin</t>
  </si>
  <si>
    <t>Kay Cee</t>
  </si>
  <si>
    <t>GBE</t>
  </si>
  <si>
    <t>William Richards</t>
  </si>
  <si>
    <t>Kestrel</t>
  </si>
  <si>
    <t>Richard Jenkins</t>
  </si>
  <si>
    <t>Leitning Storm</t>
  </si>
  <si>
    <t>Mark Leitner</t>
  </si>
  <si>
    <t>Robin Ottowa</t>
  </si>
  <si>
    <t>M 32 World</t>
  </si>
  <si>
    <t>M 32</t>
  </si>
  <si>
    <t>Mad Hatter</t>
  </si>
  <si>
    <t>Phill Brander</t>
  </si>
  <si>
    <t>Magic Shadow</t>
  </si>
  <si>
    <t>Corsair F28R</t>
  </si>
  <si>
    <t>Mahal Bangria</t>
  </si>
  <si>
    <t>Peter Wellry</t>
  </si>
  <si>
    <t>G. Floyd</t>
  </si>
  <si>
    <t>McJak</t>
  </si>
  <si>
    <t>Shaun Jackson/Lach McFarlane</t>
  </si>
  <si>
    <t>McMoggy</t>
  </si>
  <si>
    <t>Schionning Waterline 1350</t>
  </si>
  <si>
    <t>Alasdair Noble</t>
  </si>
  <si>
    <t>M. Hodges</t>
  </si>
  <si>
    <t>Medosa</t>
  </si>
  <si>
    <t>Wilderness 10.5</t>
  </si>
  <si>
    <t>B Smith</t>
  </si>
  <si>
    <t>YC555</t>
  </si>
  <si>
    <t>Mistress</t>
  </si>
  <si>
    <t>Sprint 750</t>
  </si>
  <si>
    <t>Dennis Coleman</t>
  </si>
  <si>
    <t>M'tepe</t>
  </si>
  <si>
    <t>Royce Vanderleur</t>
  </si>
  <si>
    <t>New Horizons</t>
  </si>
  <si>
    <t>Wavelength 780</t>
  </si>
  <si>
    <t>Ted Kerr</t>
  </si>
  <si>
    <t>Nicky C</t>
  </si>
  <si>
    <t>Schionning Cosmos 14.3</t>
  </si>
  <si>
    <t>Ian Cooper</t>
  </si>
  <si>
    <t>NIXE</t>
  </si>
  <si>
    <t>Bulka 22</t>
  </si>
  <si>
    <t>Issy Diebold</t>
  </si>
  <si>
    <t>Numantia</t>
  </si>
  <si>
    <t>James Wall</t>
  </si>
  <si>
    <t>G Floyd</t>
  </si>
  <si>
    <t>Farrier F24</t>
  </si>
  <si>
    <t>Overdrive</t>
  </si>
  <si>
    <t>Edlin 33</t>
  </si>
  <si>
    <t>Rupert King</t>
  </si>
  <si>
    <t>Joel Berg</t>
  </si>
  <si>
    <t>Peccadillo</t>
  </si>
  <si>
    <t>Chris White 46 MkII</t>
  </si>
  <si>
    <t>Charles Meredith</t>
  </si>
  <si>
    <t>P1</t>
  </si>
  <si>
    <t>Plan B</t>
  </si>
  <si>
    <t>Catana 47</t>
  </si>
  <si>
    <t>Ross Perrins</t>
  </si>
  <si>
    <t>Mike Hodges</t>
  </si>
  <si>
    <t>Purple Haze</t>
  </si>
  <si>
    <t>Grainger Essential 8</t>
  </si>
  <si>
    <t>Danny McMillan</t>
  </si>
  <si>
    <t>Rainbow 2</t>
  </si>
  <si>
    <t>Dash 750</t>
  </si>
  <si>
    <t>Leon Alexander</t>
  </si>
  <si>
    <t>Redshift</t>
  </si>
  <si>
    <t>Richard Pocock</t>
  </si>
  <si>
    <t>F61</t>
  </si>
  <si>
    <t>Renaissance</t>
  </si>
  <si>
    <t>Schionning Waterline</t>
  </si>
  <si>
    <t>Michael Hayes</t>
  </si>
  <si>
    <t>G.  Cruse</t>
  </si>
  <si>
    <t>Rex</t>
  </si>
  <si>
    <t>ORMA 60</t>
  </si>
  <si>
    <t>Shaun Carroll</t>
  </si>
  <si>
    <t>Rhythmic</t>
  </si>
  <si>
    <t>Pescott</t>
  </si>
  <si>
    <t>Phil Day</t>
  </si>
  <si>
    <t>T Playne</t>
  </si>
  <si>
    <t>Input</t>
  </si>
  <si>
    <t>Ricochet</t>
  </si>
  <si>
    <t>Farrier F41/44</t>
  </si>
  <si>
    <t>Frank Hobson</t>
  </si>
  <si>
    <t>:4/02/2021</t>
  </si>
  <si>
    <t>S.Barton</t>
  </si>
  <si>
    <t>Ritalin</t>
  </si>
  <si>
    <t>ADHD28</t>
  </si>
  <si>
    <t>Craig Humphries</t>
  </si>
  <si>
    <t>RoAmance</t>
  </si>
  <si>
    <t>Chamberlain 14</t>
  </si>
  <si>
    <t>Gordon Beath</t>
  </si>
  <si>
    <t>Rogntudjuuu!</t>
  </si>
  <si>
    <t>Crowther Southern Ocean</t>
  </si>
  <si>
    <t>Ken Trevellien</t>
  </si>
  <si>
    <t>Romance</t>
  </si>
  <si>
    <t xml:space="preserve">Crowther Windspeed </t>
  </si>
  <si>
    <t>Kriss Dellit</t>
  </si>
  <si>
    <t>Romanza</t>
  </si>
  <si>
    <t>Morelli and Melvin</t>
  </si>
  <si>
    <t>D Love / J Knowles</t>
  </si>
  <si>
    <t>Rumolicious</t>
  </si>
  <si>
    <t>Crowther X 10</t>
  </si>
  <si>
    <t>Jai Tooley</t>
  </si>
  <si>
    <t>Running Bare</t>
  </si>
  <si>
    <t>Crowther Super Shockwave</t>
  </si>
  <si>
    <t>Tim Peverell</t>
  </si>
  <si>
    <t>M270</t>
  </si>
  <si>
    <t>Rushour</t>
  </si>
  <si>
    <t>Rogers Magnified 2.0</t>
  </si>
  <si>
    <t>Drew Carruthers</t>
  </si>
  <si>
    <t>Sknot</t>
  </si>
  <si>
    <t>Craig Unthank</t>
  </si>
  <si>
    <t>G.Floyd</t>
  </si>
  <si>
    <t>v306</t>
  </si>
  <si>
    <t>Spearhead</t>
  </si>
  <si>
    <t>Pulse 600</t>
  </si>
  <si>
    <t>Matthew O'Brien</t>
  </si>
  <si>
    <t>V20</t>
  </si>
  <si>
    <t>Spook</t>
  </si>
  <si>
    <t>Corsair 36 Tri</t>
  </si>
  <si>
    <t>Tony Eppell</t>
  </si>
  <si>
    <t>B. Dixon</t>
  </si>
  <si>
    <t>Squirrel</t>
  </si>
  <si>
    <t>Unknown</t>
  </si>
  <si>
    <t>Ed Gibson</t>
  </si>
  <si>
    <t>Provisional 21/4/2022</t>
  </si>
  <si>
    <t>Stardust</t>
  </si>
  <si>
    <t>Tag 60</t>
  </si>
  <si>
    <t>Eric Cook</t>
  </si>
  <si>
    <t>Sting #1</t>
  </si>
  <si>
    <t>Surtees Sting 600</t>
  </si>
  <si>
    <t>Len Surtees</t>
  </si>
  <si>
    <t>Chamberlain</t>
  </si>
  <si>
    <t>Marc Gerard</t>
  </si>
  <si>
    <t xml:space="preserve">Tantrum </t>
  </si>
  <si>
    <t>Batkare</t>
  </si>
  <si>
    <t>David Netherton</t>
  </si>
  <si>
    <t>Tearaway</t>
  </si>
  <si>
    <t>G Kneebone</t>
  </si>
  <si>
    <t>S009</t>
  </si>
  <si>
    <t>S004</t>
  </si>
  <si>
    <t>The Experiment</t>
  </si>
  <si>
    <t>Tilt 7</t>
  </si>
  <si>
    <t>Michael duVallon</t>
  </si>
  <si>
    <t>The Hully Trinity</t>
  </si>
  <si>
    <t>Kevin Burnell</t>
  </si>
  <si>
    <t>The Stig</t>
  </si>
  <si>
    <t>Farrier F9RX</t>
  </si>
  <si>
    <t>Terry O'Brien</t>
  </si>
  <si>
    <t>The Tribe</t>
  </si>
  <si>
    <t>F-82R Mod</t>
  </si>
  <si>
    <t>John Hardy</t>
  </si>
  <si>
    <t>S030</t>
  </si>
  <si>
    <t>SO40</t>
  </si>
  <si>
    <t xml:space="preserve">Tiger </t>
  </si>
  <si>
    <t>Geoff Floyd</t>
  </si>
  <si>
    <t>Time Machine</t>
  </si>
  <si>
    <t>Grainger GTR 8</t>
  </si>
  <si>
    <t>Matt Von Bibra</t>
  </si>
  <si>
    <t>GT82</t>
  </si>
  <si>
    <t>Top Gun</t>
  </si>
  <si>
    <t>Crowther 50</t>
  </si>
  <si>
    <t>Darren Drew</t>
  </si>
  <si>
    <t>M. Hodges/S. Beyer</t>
  </si>
  <si>
    <t>Tribute</t>
  </si>
  <si>
    <t>Farrier F31R</t>
  </si>
  <si>
    <t>Richard Morwood</t>
  </si>
  <si>
    <t>PH and Co</t>
  </si>
  <si>
    <t>Triple Expresso</t>
  </si>
  <si>
    <t>Andrew McColl</t>
  </si>
  <si>
    <t>Tripod</t>
  </si>
  <si>
    <t>Triton</t>
  </si>
  <si>
    <t>Chris Bowden</t>
  </si>
  <si>
    <t>020</t>
  </si>
  <si>
    <t>Two Tribes</t>
  </si>
  <si>
    <t>Egan</t>
  </si>
  <si>
    <t>Paul Nudd</t>
  </si>
  <si>
    <t>Tyee III</t>
  </si>
  <si>
    <t>Catana</t>
  </si>
  <si>
    <t>John William</t>
  </si>
  <si>
    <t>Vela</t>
  </si>
  <si>
    <t>Stealth 13</t>
  </si>
  <si>
    <t>Nick Lyons</t>
  </si>
  <si>
    <t>Stealth</t>
  </si>
  <si>
    <t>.62</t>
  </si>
  <si>
    <t>Venom</t>
  </si>
  <si>
    <t>Grainger R42 Trimaran</t>
  </si>
  <si>
    <t>Robert Dunn</t>
  </si>
  <si>
    <t>S001</t>
  </si>
  <si>
    <t>S029</t>
  </si>
  <si>
    <t>Where's Jack</t>
  </si>
  <si>
    <t>Grainger Raider</t>
  </si>
  <si>
    <t>Rob Waterhouse</t>
  </si>
  <si>
    <t>Wild Spirit</t>
  </si>
  <si>
    <t>Crowther Shockwave 40</t>
  </si>
  <si>
    <t>Keith Rixon</t>
  </si>
  <si>
    <t>M340</t>
  </si>
  <si>
    <t>Wilparina 3</t>
  </si>
  <si>
    <t>Rob Remilton</t>
  </si>
  <si>
    <t>S028</t>
  </si>
  <si>
    <t>S037</t>
  </si>
  <si>
    <t>Wind Cheetah</t>
  </si>
  <si>
    <t>Arber 38</t>
  </si>
  <si>
    <t>Xena</t>
  </si>
  <si>
    <t>Alan Brand</t>
  </si>
  <si>
    <t>Zero</t>
  </si>
  <si>
    <t>Schionning G Force 1800</t>
  </si>
  <si>
    <t>New Sails not measured yet last weighing 26 apr 16</t>
  </si>
  <si>
    <t>Last Full Measure Date</t>
  </si>
  <si>
    <t>NC Number of Crew</t>
  </si>
  <si>
    <t>AD Area Staysail</t>
  </si>
  <si>
    <t>ScrL1</t>
  </si>
  <si>
    <t>ScrL2</t>
  </si>
  <si>
    <t>ScrMG</t>
  </si>
  <si>
    <t>PCSCRMG ScrMG %</t>
  </si>
  <si>
    <t>MSASc Area Screacher</t>
  </si>
  <si>
    <t>FLSCR Valid
Scrch</t>
  </si>
  <si>
    <t>Sail Plan Code</t>
  </si>
  <si>
    <t>Inactive Multihulls - No longer sailing or no longer racing</t>
  </si>
  <si>
    <t>3 Sum</t>
  </si>
  <si>
    <t>Trailer tri TT680</t>
  </si>
  <si>
    <t>C. McQueen</t>
  </si>
  <si>
    <t>G. E. Cruse</t>
  </si>
  <si>
    <t>Soft</t>
  </si>
  <si>
    <t>Adios</t>
  </si>
  <si>
    <t>Burgess B 10</t>
  </si>
  <si>
    <t>Graham Argall</t>
  </si>
  <si>
    <t>B Wieland</t>
  </si>
  <si>
    <t>Aeolus</t>
  </si>
  <si>
    <t>F 24</t>
  </si>
  <si>
    <t>ex Rob Quirk</t>
  </si>
  <si>
    <t>G Bulka</t>
  </si>
  <si>
    <t>Against The Wind</t>
  </si>
  <si>
    <t>Hitchhiker Mk 3</t>
  </si>
  <si>
    <t>R Brindley</t>
  </si>
  <si>
    <t>D Solomon</t>
  </si>
  <si>
    <t>No Keel/C'Board</t>
  </si>
  <si>
    <t>Akimbo</t>
  </si>
  <si>
    <t>Grainger MTB 920</t>
  </si>
  <si>
    <t>Rob Sherwood</t>
  </si>
  <si>
    <t>P Day</t>
  </si>
  <si>
    <t>MK1</t>
  </si>
  <si>
    <t>Albatross</t>
  </si>
  <si>
    <t>Farrier F9A</t>
  </si>
  <si>
    <t>Tony Steinland</t>
  </si>
  <si>
    <t>Alpha Centauri 2</t>
  </si>
  <si>
    <t>Crowther Windspeed 37 modified</t>
  </si>
  <si>
    <t>Kim Mitchell</t>
  </si>
  <si>
    <t>Animal</t>
  </si>
  <si>
    <t>Wayne Huxley</t>
  </si>
  <si>
    <t>Aquilo II</t>
  </si>
  <si>
    <t>ex Geoff Smith</t>
  </si>
  <si>
    <t>Assassin</t>
  </si>
  <si>
    <t>Nicol Luxford (modified)</t>
  </si>
  <si>
    <t>Sydney Luxford</t>
  </si>
  <si>
    <t>Atmosphere</t>
  </si>
  <si>
    <t>Benoit Lesaffre</t>
  </si>
  <si>
    <t>AYS Raider</t>
  </si>
  <si>
    <t>Peter Faulkner</t>
  </si>
  <si>
    <t>Bach And Byte</t>
  </si>
  <si>
    <t>Gross Fastback 43</t>
  </si>
  <si>
    <t>Daviid Gemmell</t>
  </si>
  <si>
    <t>J Hawkings</t>
  </si>
  <si>
    <t>Bavarian Flyer</t>
  </si>
  <si>
    <t>Corsair F27</t>
  </si>
  <si>
    <t>Ken Darcy</t>
  </si>
  <si>
    <t>Beans</t>
  </si>
  <si>
    <t>Windrush 600</t>
  </si>
  <si>
    <t>Steve Walter</t>
  </si>
  <si>
    <t>G scott</t>
  </si>
  <si>
    <t>Beaufighter</t>
  </si>
  <si>
    <t>Farrier F9AX</t>
  </si>
  <si>
    <t>Peter Jackson</t>
  </si>
  <si>
    <t>B. Wieland</t>
  </si>
  <si>
    <t>G.E. Cruse</t>
  </si>
  <si>
    <t>Bigwave Rider</t>
  </si>
  <si>
    <t>Bruce Arms</t>
  </si>
  <si>
    <t>Blade Runner</t>
  </si>
  <si>
    <t>Trailertri 720 (modified)</t>
  </si>
  <si>
    <t>Blithe Spirit</t>
  </si>
  <si>
    <t>Crowther Super shockwave</t>
  </si>
  <si>
    <t>Neville Stanford</t>
  </si>
  <si>
    <t>Bluey Zarzoff</t>
  </si>
  <si>
    <t>Peter Barron</t>
  </si>
  <si>
    <t>R Butler/S Barton</t>
  </si>
  <si>
    <t>BZ2</t>
  </si>
  <si>
    <t>Botax</t>
  </si>
  <si>
    <t>Brandy Creek Ferry</t>
  </si>
  <si>
    <t>Grainger one off</t>
  </si>
  <si>
    <t>Graham Matthews</t>
  </si>
  <si>
    <t>K Hurling</t>
  </si>
  <si>
    <t>G E Cruse</t>
  </si>
  <si>
    <t>Bullet Proof</t>
  </si>
  <si>
    <t>Schionning G Force</t>
  </si>
  <si>
    <t>Scott Gralow</t>
  </si>
  <si>
    <t>Bullfrog</t>
  </si>
  <si>
    <t>Geoff Hunter</t>
  </si>
  <si>
    <t>Chris O'Brien</t>
  </si>
  <si>
    <t>Bushranger</t>
  </si>
  <si>
    <t>Peter Boyd</t>
  </si>
  <si>
    <t>Cascade with No 2</t>
  </si>
  <si>
    <t>Alex Mc Naughtan</t>
  </si>
  <si>
    <t>Catalina</t>
  </si>
  <si>
    <t>Dale Low</t>
  </si>
  <si>
    <t>G E. Cruse</t>
  </si>
  <si>
    <t>Catalyst</t>
  </si>
  <si>
    <t>Nacra 36</t>
  </si>
  <si>
    <t>Christopher Wren</t>
  </si>
  <si>
    <t>Chilli</t>
  </si>
  <si>
    <t>G. Bulka</t>
  </si>
  <si>
    <t>Cirrus</t>
  </si>
  <si>
    <t>Farrier Haines Hunter Tramp</t>
  </si>
  <si>
    <t>Martin Kilpatrick</t>
  </si>
  <si>
    <t>Cocktails For Two</t>
  </si>
  <si>
    <t>Arber Soueaster</t>
  </si>
  <si>
    <t>Trevor dellitt</t>
  </si>
  <si>
    <t>D. Gemmell</t>
  </si>
  <si>
    <t>Coco Loco</t>
  </si>
  <si>
    <t>ex Garry Scott</t>
  </si>
  <si>
    <t>M. Vincent</t>
  </si>
  <si>
    <t>3</t>
  </si>
  <si>
    <t>Conquest</t>
  </si>
  <si>
    <t>Gary Hall</t>
  </si>
  <si>
    <t>Cool Change</t>
  </si>
  <si>
    <t>Bob Critchley</t>
  </si>
  <si>
    <t>Corsair</t>
  </si>
  <si>
    <t>Paul Koch</t>
  </si>
  <si>
    <t>D Jenkins</t>
  </si>
  <si>
    <t>Cruise Missile</t>
  </si>
  <si>
    <t>C. OBrien</t>
  </si>
  <si>
    <t>Cynophobe</t>
  </si>
  <si>
    <t>Peter Miller</t>
  </si>
  <si>
    <t>Daylight Robbery</t>
  </si>
  <si>
    <t>54-M1</t>
  </si>
  <si>
    <t>Dog House</t>
  </si>
  <si>
    <t>David Morgan</t>
  </si>
  <si>
    <t>Don’t Panic</t>
  </si>
  <si>
    <t>HH Tramp</t>
  </si>
  <si>
    <t>Daniel Pearson</t>
  </si>
  <si>
    <t>Bob Forster</t>
  </si>
  <si>
    <t>Down Under</t>
  </si>
  <si>
    <t>Corsair 24/ F24</t>
  </si>
  <si>
    <t>Dragonfly</t>
  </si>
  <si>
    <t>Quarning Dragonfly 800</t>
  </si>
  <si>
    <t>Toby Somerville</t>
  </si>
  <si>
    <t>Dual Force</t>
  </si>
  <si>
    <t>Simpson/Solomon Formula 1</t>
  </si>
  <si>
    <t>D &amp; W Solomon</t>
  </si>
  <si>
    <t>P Barker</t>
  </si>
  <si>
    <t>Earthling</t>
  </si>
  <si>
    <t xml:space="preserve">Young </t>
  </si>
  <si>
    <t>Glen Rutherford</t>
  </si>
  <si>
    <t>Eat Dessert First</t>
  </si>
  <si>
    <t>Keith Chidzey</t>
  </si>
  <si>
    <t>Enterprise</t>
  </si>
  <si>
    <t>Chamberlin Parallax  11</t>
  </si>
  <si>
    <t>Robert Mackenzie</t>
  </si>
  <si>
    <t>2xFixed</t>
  </si>
  <si>
    <t>Escape Pod 3</t>
  </si>
  <si>
    <t>Haines Hunter Tramp</t>
  </si>
  <si>
    <t>Jason Sherwood</t>
  </si>
  <si>
    <t>Excalibur</t>
  </si>
  <si>
    <t>F-82</t>
  </si>
  <si>
    <t>M Vincent</t>
  </si>
  <si>
    <t>Fleetwing</t>
  </si>
  <si>
    <t>ex David Mason</t>
  </si>
  <si>
    <t>Free Spirit</t>
  </si>
  <si>
    <t>F-24</t>
  </si>
  <si>
    <t>ex Marcus Randell</t>
  </si>
  <si>
    <t>G Force</t>
  </si>
  <si>
    <t>Farrier F-82R</t>
  </si>
  <si>
    <t>Robert Warner</t>
  </si>
  <si>
    <t>Gabirri</t>
  </si>
  <si>
    <t xml:space="preserve">kendrick Scarab 670 </t>
  </si>
  <si>
    <t>Bruce Robertson</t>
  </si>
  <si>
    <t>T. Playne</t>
  </si>
  <si>
    <t>Gandalf</t>
  </si>
  <si>
    <t>Ostac (Corsair 3600)</t>
  </si>
  <si>
    <t>Greg Wiman</t>
  </si>
  <si>
    <t>Grey Matter</t>
  </si>
  <si>
    <t>Peter Petzold</t>
  </si>
  <si>
    <t>Gumphy</t>
  </si>
  <si>
    <t>Farrier F22 R</t>
  </si>
  <si>
    <t>Neville Mcelroy</t>
  </si>
  <si>
    <t>155</t>
  </si>
  <si>
    <t>Happy Feet</t>
  </si>
  <si>
    <t>Arnie Duckworth Special</t>
  </si>
  <si>
    <t>Arnie Duckworth</t>
  </si>
  <si>
    <t>Mark Pescott</t>
  </si>
  <si>
    <t>Hawkeye</t>
  </si>
  <si>
    <t xml:space="preserve"> Farrier F-9R</t>
  </si>
  <si>
    <t>P Hawker</t>
  </si>
  <si>
    <t>SA888</t>
  </si>
  <si>
    <t>Highly Strung</t>
  </si>
  <si>
    <t>Grainger 075 ?</t>
  </si>
  <si>
    <t>M. &amp; N. Chache</t>
  </si>
  <si>
    <t>G.Bulka</t>
  </si>
  <si>
    <t>Hobo</t>
  </si>
  <si>
    <t>Peter Withington</t>
  </si>
  <si>
    <t>Hot Property</t>
  </si>
  <si>
    <t>Paul Steinhardt</t>
  </si>
  <si>
    <t>Hot Vindaloo</t>
  </si>
  <si>
    <t>Julian Griffiths</t>
  </si>
  <si>
    <t>Insulation Solutions</t>
  </si>
  <si>
    <t xml:space="preserve"> Egan Trailable Cat</t>
  </si>
  <si>
    <t>R Engwirda</t>
  </si>
  <si>
    <t>P. Day (Check)</t>
  </si>
  <si>
    <t>TCat</t>
  </si>
  <si>
    <t>Intermezzo</t>
  </si>
  <si>
    <t>Intrigue NZ</t>
  </si>
  <si>
    <t>Roger Fawcett</t>
  </si>
  <si>
    <t>Iris of Bergen</t>
  </si>
  <si>
    <t>Mark Ward</t>
  </si>
  <si>
    <t>Knot Shore</t>
  </si>
  <si>
    <t>Wayne Harvey</t>
  </si>
  <si>
    <t>Kunama</t>
  </si>
  <si>
    <t>Waller TC 670</t>
  </si>
  <si>
    <t>Norm Foote</t>
  </si>
  <si>
    <t>La Dane</t>
  </si>
  <si>
    <t>Mashford 11.5</t>
  </si>
  <si>
    <t>Len Barnes</t>
  </si>
  <si>
    <t>Louie Da Tri</t>
  </si>
  <si>
    <t>Mad Max</t>
  </si>
  <si>
    <t>TF10</t>
  </si>
  <si>
    <t>Foiler trial of arbitrary foil factor tba</t>
  </si>
  <si>
    <t>Madneeka</t>
  </si>
  <si>
    <t>John Fairfull</t>
  </si>
  <si>
    <t>Corsair 28R</t>
  </si>
  <si>
    <t>Robert Dean</t>
  </si>
  <si>
    <t>Malibu</t>
  </si>
  <si>
    <t>Trailable Cat</t>
  </si>
  <si>
    <t>C. Queenan</t>
  </si>
  <si>
    <t>Mango Moon</t>
  </si>
  <si>
    <t>Corsair 50</t>
  </si>
  <si>
    <t>Frank Coale</t>
  </si>
  <si>
    <t>Maripi</t>
  </si>
  <si>
    <t>Prout Snowgoose (modified)</t>
  </si>
  <si>
    <t>S F Withers</t>
  </si>
  <si>
    <t>D Gemmell</t>
  </si>
  <si>
    <t>Midnight Rain</t>
  </si>
  <si>
    <t>Bill Ferguson</t>
  </si>
  <si>
    <t>Millenium Bug</t>
  </si>
  <si>
    <t>Farrier F-24  BNMkII</t>
  </si>
  <si>
    <t>Lachlan Macfarlane</t>
  </si>
  <si>
    <t>Min Min</t>
  </si>
  <si>
    <t xml:space="preserve"> </t>
  </si>
  <si>
    <t>S. Rumble</t>
  </si>
  <si>
    <t>Mojo</t>
  </si>
  <si>
    <t>ex Peter Wilcox</t>
  </si>
  <si>
    <t>Morticia</t>
  </si>
  <si>
    <t>Seacart 30</t>
  </si>
  <si>
    <t>Shaun Carrol</t>
  </si>
  <si>
    <t>Move It</t>
  </si>
  <si>
    <t>David Turton</t>
  </si>
  <si>
    <t>Mustang Sally</t>
  </si>
  <si>
    <t>Al Bennett</t>
  </si>
  <si>
    <t>Chris Obrien</t>
  </si>
  <si>
    <t>MYSA #99</t>
  </si>
  <si>
    <t>Newtricks</t>
  </si>
  <si>
    <t>John Stark</t>
  </si>
  <si>
    <t>No Limits</t>
  </si>
  <si>
    <t>Farrier F-24 Mk II</t>
  </si>
  <si>
    <t>John Smithwick</t>
  </si>
  <si>
    <t>No Problems</t>
  </si>
  <si>
    <t>Ray Hobbs</t>
  </si>
  <si>
    <t>G. Myers</t>
  </si>
  <si>
    <t>Normal Variant</t>
  </si>
  <si>
    <t>C24</t>
  </si>
  <si>
    <t>Lindsay Rowe</t>
  </si>
  <si>
    <t>Nudgee Budgie</t>
  </si>
  <si>
    <t>Fraser Special</t>
  </si>
  <si>
    <t>Cliff Fraser</t>
  </si>
  <si>
    <t>Obsession</t>
  </si>
  <si>
    <t>Farrier F25</t>
  </si>
  <si>
    <t>ex David Vockler</t>
  </si>
  <si>
    <t>D Dorsett</t>
  </si>
  <si>
    <t>Ocean Emu</t>
  </si>
  <si>
    <t>Grainger Westcoaster</t>
  </si>
  <si>
    <t>William Fea</t>
  </si>
  <si>
    <t>P.Day</t>
  </si>
  <si>
    <t>On Top</t>
  </si>
  <si>
    <t>Ian Jones</t>
  </si>
  <si>
    <t>Oui! Oui!</t>
  </si>
  <si>
    <t>Multi 23</t>
  </si>
  <si>
    <t>ex Stephen Barton</t>
  </si>
  <si>
    <t>Out Rage</t>
  </si>
  <si>
    <t>ex M. Kingsberry</t>
  </si>
  <si>
    <t>Outer Limits</t>
  </si>
  <si>
    <t>Haydn Rough</t>
  </si>
  <si>
    <t>Pacifica</t>
  </si>
  <si>
    <t>Pages</t>
  </si>
  <si>
    <t>Phil Hames</t>
  </si>
  <si>
    <t>Peregrine</t>
  </si>
  <si>
    <t xml:space="preserve"> Grainger 075</t>
  </si>
  <si>
    <t>Perfect Timing</t>
  </si>
  <si>
    <t>F82R</t>
  </si>
  <si>
    <t>David Wilson</t>
  </si>
  <si>
    <t>Pickle Fork</t>
  </si>
  <si>
    <t>Chris Kerrison / Phil Day</t>
  </si>
  <si>
    <t>M .Vincent</t>
  </si>
  <si>
    <t>Pocahontas</t>
  </si>
  <si>
    <t>Pork Chop</t>
  </si>
  <si>
    <t>Daryl Dorsett</t>
  </si>
  <si>
    <t>P Care</t>
  </si>
  <si>
    <t>Predator</t>
  </si>
  <si>
    <t>Crowther Windspeed 37</t>
  </si>
  <si>
    <t>Brian Anstee</t>
  </si>
  <si>
    <t>Pronto</t>
  </si>
  <si>
    <t>John Nayler</t>
  </si>
  <si>
    <t>K. Hurling</t>
  </si>
  <si>
    <t>Purrfik</t>
  </si>
  <si>
    <t>Rogers Coral Sea</t>
  </si>
  <si>
    <t>Ray Perry</t>
  </si>
  <si>
    <t>Quick Sand</t>
  </si>
  <si>
    <t xml:space="preserve"> Farrier F82R</t>
  </si>
  <si>
    <t>Glen Harris</t>
  </si>
  <si>
    <t>Quickskips</t>
  </si>
  <si>
    <t>Farrier F9ax</t>
  </si>
  <si>
    <t>Peter Millar</t>
  </si>
  <si>
    <t>Raider Fred</t>
  </si>
  <si>
    <t>Grainger 302</t>
  </si>
  <si>
    <t>Dawse &amp; Patterson</t>
  </si>
  <si>
    <t>Raider One Design</t>
  </si>
  <si>
    <t>Jamie Morris</t>
  </si>
  <si>
    <t>Rajah</t>
  </si>
  <si>
    <t>Haines Tramp</t>
  </si>
  <si>
    <t>Bryce Taylor</t>
  </si>
  <si>
    <t>Rastus</t>
  </si>
  <si>
    <t>TT680</t>
  </si>
  <si>
    <t>Ron Whutaker</t>
  </si>
  <si>
    <t>Ratepayer</t>
  </si>
  <si>
    <t xml:space="preserve">Tennant (modified) </t>
  </si>
  <si>
    <t>Les Routledge</t>
  </si>
  <si>
    <t>Raw Fin</t>
  </si>
  <si>
    <t>David Knezevic</t>
  </si>
  <si>
    <t>78</t>
  </si>
  <si>
    <t>Raw Nerve</t>
  </si>
  <si>
    <t>Crowther/Bloomfield</t>
  </si>
  <si>
    <t>Martin Riley</t>
  </si>
  <si>
    <t>Raw To The Core</t>
  </si>
  <si>
    <t>V28-2</t>
  </si>
  <si>
    <t>Red Back</t>
  </si>
  <si>
    <t>T Somerville</t>
  </si>
  <si>
    <t>Renegade</t>
  </si>
  <si>
    <t>ex Chris Wren</t>
  </si>
  <si>
    <t>Saloon Bar</t>
  </si>
  <si>
    <t>Lidgard Lidgard 47</t>
  </si>
  <si>
    <t>John Davies</t>
  </si>
  <si>
    <t>Scud</t>
  </si>
  <si>
    <t>F-28R</t>
  </si>
  <si>
    <t>Kurt Ottowa</t>
  </si>
  <si>
    <t>S Barton</t>
  </si>
  <si>
    <t>Sea Flight</t>
  </si>
  <si>
    <t>John Pentland</t>
  </si>
  <si>
    <t>Sea Sprinter</t>
  </si>
  <si>
    <t>Dale Gardiner Berry</t>
  </si>
  <si>
    <t>J2</t>
  </si>
  <si>
    <t>Shanda</t>
  </si>
  <si>
    <t>Shawn Arber 42</t>
  </si>
  <si>
    <t>Bruce Weiland</t>
  </si>
  <si>
    <t>Sha-zaul</t>
  </si>
  <si>
    <t>Paul Gold</t>
  </si>
  <si>
    <t>Shooting Star</t>
  </si>
  <si>
    <t xml:space="preserve"> Contour 30         </t>
  </si>
  <si>
    <t>T playne/K Hurling</t>
  </si>
  <si>
    <t xml:space="preserve">GE Cruse                                                                            </t>
  </si>
  <si>
    <t>Shuttle</t>
  </si>
  <si>
    <t>Cirrostratus 10</t>
  </si>
  <si>
    <t>David Tapper</t>
  </si>
  <si>
    <t>V6</t>
  </si>
  <si>
    <t>Silent Running</t>
  </si>
  <si>
    <t>Grainger Tri</t>
  </si>
  <si>
    <t>David Vockter</t>
  </si>
  <si>
    <t>G Martin</t>
  </si>
  <si>
    <t>Sin</t>
  </si>
  <si>
    <t>Farrier 720</t>
  </si>
  <si>
    <t>G bulka</t>
  </si>
  <si>
    <t>Gbulka</t>
  </si>
  <si>
    <t>Sirocco</t>
  </si>
  <si>
    <t>Bob Thompson</t>
  </si>
  <si>
    <t>Skedaddle Narrow</t>
  </si>
  <si>
    <t>S Fishley</t>
  </si>
  <si>
    <t>Q21</t>
  </si>
  <si>
    <t>Slick Willie</t>
  </si>
  <si>
    <t>Chris &amp; Craig</t>
  </si>
  <si>
    <t>Soul Pattinson Chemist</t>
  </si>
  <si>
    <t>Johan Betrom</t>
  </si>
  <si>
    <t>SPC4</t>
  </si>
  <si>
    <t>Corsair Sprint 750Mk2</t>
  </si>
  <si>
    <t>David Fisher</t>
  </si>
  <si>
    <t>Spellbound</t>
  </si>
  <si>
    <t>Geoff Toomey</t>
  </si>
  <si>
    <t>W. Pringle</t>
  </si>
  <si>
    <t>Spirit</t>
  </si>
  <si>
    <t>Formula 40</t>
  </si>
  <si>
    <t>Jason Gard</t>
  </si>
  <si>
    <t>Spud Gun</t>
  </si>
  <si>
    <t>Schionning cat</t>
  </si>
  <si>
    <t>Steppin Along</t>
  </si>
  <si>
    <t>Grainger Alfresco</t>
  </si>
  <si>
    <t>Peter Sutherland</t>
  </si>
  <si>
    <t>B Weiland</t>
  </si>
  <si>
    <t>Stick Shift</t>
  </si>
  <si>
    <t>Don Stock</t>
  </si>
  <si>
    <t>73</t>
  </si>
  <si>
    <t>Stir Fry</t>
  </si>
  <si>
    <t>Ballistic 31</t>
  </si>
  <si>
    <t>Trevor Brown</t>
  </si>
  <si>
    <t>D. Dorsett</t>
  </si>
  <si>
    <t>Summersalt</t>
  </si>
  <si>
    <t>Pescott 10m Cat</t>
  </si>
  <si>
    <t>Roger Kingdon/Mark Pescott</t>
  </si>
  <si>
    <t>C200</t>
  </si>
  <si>
    <t>Summit</t>
  </si>
  <si>
    <t>S. Barton/R butler</t>
  </si>
  <si>
    <t>Sunday Session</t>
  </si>
  <si>
    <t>Pescott Whitehaven 9.5 Stretched</t>
  </si>
  <si>
    <t>Take Control</t>
  </si>
  <si>
    <t>Farrier F25a</t>
  </si>
  <si>
    <t>Peter Quinn</t>
  </si>
  <si>
    <t>Team Australia</t>
  </si>
  <si>
    <t>Sean Langman</t>
  </si>
  <si>
    <t>THE BOSS</t>
  </si>
  <si>
    <t>Arber South easter</t>
  </si>
  <si>
    <t>R Zerner</t>
  </si>
  <si>
    <t>Thrill Neck</t>
  </si>
  <si>
    <t>Ray Cleary</t>
  </si>
  <si>
    <t>Time Bandit</t>
  </si>
  <si>
    <t>Pescott Whitehaven</t>
  </si>
  <si>
    <t>M &amp; C Shelley</t>
  </si>
  <si>
    <t>W Pringle</t>
  </si>
  <si>
    <t>TLC</t>
  </si>
  <si>
    <t>Crowther 10m</t>
  </si>
  <si>
    <t>Tim Playne</t>
  </si>
  <si>
    <t>k Hurling</t>
  </si>
  <si>
    <t>Touchpaper</t>
  </si>
  <si>
    <t>Crowther</t>
  </si>
  <si>
    <t>Trevor and Kriss Dellit</t>
  </si>
  <si>
    <t>Trade Wind</t>
  </si>
  <si>
    <t>Allan Rees</t>
  </si>
  <si>
    <t>Tri Hard</t>
  </si>
  <si>
    <t xml:space="preserve"> Farrier F25</t>
  </si>
  <si>
    <t>Ross Webster</t>
  </si>
  <si>
    <t>Tribelle</t>
  </si>
  <si>
    <t>Kim Hooper</t>
  </si>
  <si>
    <t>S.Russel</t>
  </si>
  <si>
    <t>Trifle</t>
  </si>
  <si>
    <t>Trailer Tri 680 ?</t>
  </si>
  <si>
    <t>Vince Gardiner</t>
  </si>
  <si>
    <t>Trilogic</t>
  </si>
  <si>
    <t xml:space="preserve"> Grainger 8m custom tri</t>
  </si>
  <si>
    <t>P.Barker</t>
  </si>
  <si>
    <t>T</t>
  </si>
  <si>
    <t>Trilogy</t>
  </si>
  <si>
    <t>ex Keith Glover</t>
  </si>
  <si>
    <t>D Fawell</t>
  </si>
  <si>
    <t>Trinity</t>
  </si>
  <si>
    <t>Kevin Maria Campbell</t>
  </si>
  <si>
    <t>M. Hodges/R. Jenkins</t>
  </si>
  <si>
    <t>Trinket</t>
  </si>
  <si>
    <t>Farrier F32</t>
  </si>
  <si>
    <t>Triumph</t>
  </si>
  <si>
    <t>Farrier F31 Aft Cabin</t>
  </si>
  <si>
    <t>F Gans</t>
  </si>
  <si>
    <t>Trojan</t>
  </si>
  <si>
    <t>G Jack</t>
  </si>
  <si>
    <t>R Butler/S barton</t>
  </si>
  <si>
    <t>Turning Point</t>
  </si>
  <si>
    <t>Grainger cat</t>
  </si>
  <si>
    <t>Clayton Matthews</t>
  </si>
  <si>
    <t>Twiggy</t>
  </si>
  <si>
    <t>Michael Finch</t>
  </si>
  <si>
    <t>Two Up Together</t>
  </si>
  <si>
    <t>Justine Grunwald</t>
  </si>
  <si>
    <t>Ullman Sails</t>
  </si>
  <si>
    <t>Grainger 10</t>
  </si>
  <si>
    <t>Paul Mitchell</t>
  </si>
  <si>
    <t>Viento</t>
  </si>
  <si>
    <t>Mark Wilson</t>
  </si>
  <si>
    <t>Voodoo Spirit</t>
  </si>
  <si>
    <t>Doug Cuming</t>
  </si>
  <si>
    <t>R. Butler</t>
  </si>
  <si>
    <t>Wavelength</t>
  </si>
  <si>
    <t>Forster</t>
  </si>
  <si>
    <t>We Three</t>
  </si>
  <si>
    <t>James Brown</t>
  </si>
  <si>
    <t>Wet-As</t>
  </si>
  <si>
    <t>Weta 4.4</t>
  </si>
  <si>
    <t>Little Fella</t>
  </si>
  <si>
    <t>Whitebird</t>
  </si>
  <si>
    <t>Mashford 36</t>
  </si>
  <si>
    <t>Ian Freeman</t>
  </si>
  <si>
    <t>Wild Thing</t>
  </si>
  <si>
    <t>Tennant</t>
  </si>
  <si>
    <t>Keith Roberts</t>
  </si>
  <si>
    <t>Wildcat</t>
  </si>
  <si>
    <t>Wilparina 2</t>
  </si>
  <si>
    <t>F9R Mod</t>
  </si>
  <si>
    <t>Shane Koreman</t>
  </si>
  <si>
    <t>Wingin It</t>
  </si>
  <si>
    <t>Darryn Purdy</t>
  </si>
  <si>
    <t>V010</t>
  </si>
  <si>
    <t>Wired</t>
  </si>
  <si>
    <t>Paul Waller</t>
  </si>
  <si>
    <t>With Teeth</t>
  </si>
  <si>
    <t xml:space="preserve"> Farrier F25a</t>
  </si>
  <si>
    <t>01</t>
  </si>
  <si>
    <t>Xcatriot</t>
  </si>
  <si>
    <t>Pescott Whitehaven 11.8</t>
  </si>
  <si>
    <t>Bob Brindley</t>
  </si>
  <si>
    <t>XL2</t>
  </si>
  <si>
    <t>Crowther #72 Super Shockwave</t>
  </si>
  <si>
    <t>Mike Peberdy</t>
  </si>
  <si>
    <t>Zorro</t>
  </si>
  <si>
    <t>Zorro 2</t>
  </si>
  <si>
    <t>ex Alan Brand</t>
  </si>
  <si>
    <t>Weighing Validity (Years)</t>
  </si>
  <si>
    <t>Fin Factor</t>
  </si>
  <si>
    <r>
      <t>Foil Factor (&gt;30</t>
    </r>
    <r>
      <rPr>
        <b/>
        <sz val="10"/>
        <rFont val="Calibri"/>
        <family val="2"/>
      </rPr>
      <t>°</t>
    </r>
    <r>
      <rPr>
        <b/>
        <sz val="10"/>
        <rFont val="Verdana"/>
        <family val="2"/>
      </rPr>
      <t xml:space="preserve"> to vertical)</t>
    </r>
  </si>
  <si>
    <t>Propellor Factor</t>
  </si>
  <si>
    <t>Efficiency Factors</t>
  </si>
  <si>
    <t>Mainsail Battens</t>
  </si>
  <si>
    <t>RL Coefficients</t>
  </si>
  <si>
    <t>Foresail Midgirth Limits (%)</t>
  </si>
  <si>
    <t>Extra Weight Per Crew</t>
  </si>
  <si>
    <t>Sail Area Coefficients</t>
  </si>
  <si>
    <t>Crew Weight Allowance Limits</t>
  </si>
  <si>
    <t>Weighing Needed Soon</t>
  </si>
  <si>
    <t>&gt;</t>
  </si>
  <si>
    <t>Accom</t>
  </si>
  <si>
    <t>Downwind ZVAL</t>
  </si>
  <si>
    <t>Length ^ 3</t>
  </si>
  <si>
    <t>Upwind Screacher</t>
  </si>
  <si>
    <t>&gt;=</t>
  </si>
  <si>
    <t>Allowance kg</t>
  </si>
  <si>
    <t>Screacher Only</t>
  </si>
  <si>
    <t>Lower Length</t>
  </si>
  <si>
    <t>m</t>
  </si>
  <si>
    <t>Weight Out of Date</t>
  </si>
  <si>
    <t>Angled</t>
  </si>
  <si>
    <t>No Accom</t>
  </si>
  <si>
    <t>Length ^ 2</t>
  </si>
  <si>
    <t>&lt;</t>
  </si>
  <si>
    <t>This is added to Clothed Crew Weight to Allow for Safety Equipment</t>
  </si>
  <si>
    <t>Spinnaker Only</t>
  </si>
  <si>
    <t>Allowance at and below Lower Length</t>
  </si>
  <si>
    <t>%</t>
  </si>
  <si>
    <t>Out of Date Boats Have Weight Penalty Applied Of</t>
  </si>
  <si>
    <t>Screacher</t>
  </si>
  <si>
    <t>Sp with Screacher</t>
  </si>
  <si>
    <t>Upper Length</t>
  </si>
  <si>
    <t>1xFixed</t>
  </si>
  <si>
    <t>Constant</t>
  </si>
  <si>
    <t>Scr with Spin</t>
  </si>
  <si>
    <t>Allowance at and above Upper Length</t>
  </si>
  <si>
    <t>Length Threshold</t>
  </si>
  <si>
    <t>Spinnaker</t>
  </si>
  <si>
    <t>Max Coeff</t>
  </si>
  <si>
    <t>Harmony</t>
  </si>
  <si>
    <t>Gordon Myers</t>
  </si>
  <si>
    <t>R. Meizer</t>
  </si>
  <si>
    <t>Largest scr NZL021   Smallest: fluro Strips</t>
  </si>
  <si>
    <t>Judicael Hillion</t>
  </si>
  <si>
    <t>Doctor Sails Noumea</t>
  </si>
  <si>
    <t>Kalolo</t>
  </si>
  <si>
    <t>Looping 56GP</t>
  </si>
  <si>
    <t>G. Saxby</t>
  </si>
  <si>
    <t>A. fawcett</t>
  </si>
  <si>
    <t>T. Brown</t>
  </si>
  <si>
    <t>Woody</t>
  </si>
  <si>
    <t>Egan Cat</t>
  </si>
  <si>
    <t>Bit On Da Side</t>
  </si>
  <si>
    <t>Rob Koch</t>
  </si>
  <si>
    <t>Farrier F 33</t>
  </si>
  <si>
    <t>Tony Richardson</t>
  </si>
  <si>
    <t>OMR Rating System
 Version 9.1 (July 2023)</t>
  </si>
  <si>
    <t>Corsair 970</t>
  </si>
  <si>
    <t>P. Mitchell</t>
  </si>
  <si>
    <t>D.Chittleborough</t>
  </si>
  <si>
    <t>Hooligan</t>
  </si>
  <si>
    <t xml:space="preserve">Storm Bay </t>
  </si>
  <si>
    <t>Excess</t>
  </si>
  <si>
    <t>SL 33</t>
  </si>
  <si>
    <t>G.Saxby</t>
  </si>
  <si>
    <t>Coenraad Brand</t>
  </si>
  <si>
    <t>20/*1/2024</t>
  </si>
  <si>
    <t>Three Bags Full</t>
  </si>
  <si>
    <t>Caves 5.8 Tri</t>
  </si>
  <si>
    <t xml:space="preserve">Shane Russell </t>
  </si>
  <si>
    <t>P. Nudd</t>
  </si>
  <si>
    <t>IntrIgue</t>
  </si>
  <si>
    <t>Fez</t>
  </si>
  <si>
    <t>Pierre Gal</t>
  </si>
  <si>
    <t>Stealth 12.6</t>
  </si>
  <si>
    <t>Stealth 12.7</t>
  </si>
  <si>
    <t>Jenkins 12.8</t>
  </si>
  <si>
    <t>Noire</t>
  </si>
  <si>
    <t>Bloomfield 70</t>
  </si>
  <si>
    <t>Triballistic</t>
  </si>
  <si>
    <t>Rapido 50</t>
  </si>
  <si>
    <t>Ian Holten</t>
  </si>
  <si>
    <t>TRI</t>
  </si>
  <si>
    <t>full</t>
  </si>
  <si>
    <t>002</t>
  </si>
  <si>
    <t>J. Turner</t>
  </si>
  <si>
    <t>Gregory Alder</t>
  </si>
  <si>
    <t>Essential Services</t>
  </si>
  <si>
    <t>The Tramp</t>
  </si>
  <si>
    <t>Geoff Smith</t>
  </si>
  <si>
    <t>Prophecy</t>
  </si>
  <si>
    <t>Spoon Bay</t>
  </si>
  <si>
    <t>Jeff Croucher</t>
  </si>
  <si>
    <t>Mark Hickey</t>
  </si>
  <si>
    <t>Allan Reif</t>
  </si>
  <si>
    <t>Wanderlust</t>
  </si>
  <si>
    <t>Mathew O'Brien</t>
  </si>
  <si>
    <t>2XS</t>
  </si>
  <si>
    <t>Farrier  F22 Rc</t>
  </si>
  <si>
    <t>Andrew Mcloed</t>
  </si>
  <si>
    <t>Little Boss</t>
  </si>
  <si>
    <t>Thomas Rue</t>
  </si>
  <si>
    <t>Favourite Child</t>
  </si>
  <si>
    <t>Gavin Le Sueur</t>
  </si>
  <si>
    <t>Roger Hill 15.9</t>
  </si>
  <si>
    <t>R. Meisler</t>
  </si>
  <si>
    <t>P. Mitchel</t>
  </si>
  <si>
    <t>Film Racing</t>
  </si>
  <si>
    <t>Simon Delzoppo</t>
  </si>
  <si>
    <t>Frankie</t>
  </si>
  <si>
    <t>Bill Trueman</t>
  </si>
  <si>
    <t>Out of date</t>
  </si>
  <si>
    <t>A. Fawcett</t>
  </si>
  <si>
    <t>R. Nosworthy</t>
  </si>
  <si>
    <t>A. Bolt</t>
  </si>
  <si>
    <t>Stuart Malouf</t>
  </si>
  <si>
    <t>L.Paszko</t>
  </si>
  <si>
    <t xml:space="preserve">Resolute 11  </t>
  </si>
  <si>
    <t>Chris White Atlantic 48</t>
  </si>
  <si>
    <t>Ken Gibson</t>
  </si>
  <si>
    <t>A Noble</t>
  </si>
  <si>
    <t>Provisional 19/12/2024</t>
  </si>
  <si>
    <t>1481</t>
  </si>
  <si>
    <t>Supersonic</t>
  </si>
  <si>
    <t>Adrian Relf</t>
  </si>
  <si>
    <t>Nick Catly</t>
  </si>
  <si>
    <t>B Kelly</t>
  </si>
  <si>
    <t>Rare Groove</t>
  </si>
  <si>
    <t>Irens 40 Tri</t>
  </si>
  <si>
    <t>C. Johnson</t>
  </si>
  <si>
    <t>Old Factors</t>
  </si>
  <si>
    <t>Bolt out of the Blue</t>
  </si>
  <si>
    <t>Alan Bolt</t>
  </si>
  <si>
    <t>B2B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</si>
</sst>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dd\-mmm\-yy;@"/>
    <numFmt numFmtId="167" formatCode="0.00\ "/>
    <numFmt numFmtId="168" formatCode="0.000\ "/>
    <numFmt numFmtId="169" formatCode="General\ "/>
    <numFmt numFmtId="170" formatCode="0.0"/>
    <numFmt numFmtId="171" formatCode="0.000000"/>
  </numFmts>
  <fonts count="33" x14ac:knownFonts="1">
    <font>
      <sz val="11"/>
      <color theme="1"/>
      <name val="Calibri"/>
      <family val="2"/>
      <scheme val="minor"/>
    </font>
    <font>
      <sz val="11"/>
      <color theme="1"/>
      <name val="Calibri"/>
      <family val="2"/>
      <scheme val="minor"/>
    </font>
    <font>
      <sz val="10"/>
      <name val="Verdana"/>
      <family val="2"/>
    </font>
    <font>
      <b/>
      <sz val="12"/>
      <color theme="4"/>
      <name val="Calibri"/>
      <family val="2"/>
    </font>
    <font>
      <sz val="10"/>
      <name val="Arial"/>
      <family val="2"/>
    </font>
    <font>
      <sz val="10"/>
      <color theme="1"/>
      <name val="Calibri"/>
      <family val="2"/>
    </font>
    <font>
      <u/>
      <sz val="10"/>
      <color theme="10"/>
      <name val="Arial"/>
      <family val="2"/>
    </font>
    <font>
      <sz val="12"/>
      <color theme="1"/>
      <name val="Calibri"/>
      <family val="2"/>
      <scheme val="minor"/>
    </font>
    <font>
      <b/>
      <sz val="10"/>
      <name val="Calibri"/>
      <family val="2"/>
    </font>
    <font>
      <b/>
      <sz val="9"/>
      <color indexed="81"/>
      <name val="Tahoma"/>
      <family val="2"/>
    </font>
    <font>
      <sz val="9"/>
      <color indexed="81"/>
      <name val="Tahoma"/>
      <family val="2"/>
    </font>
    <font>
      <b/>
      <sz val="10"/>
      <name val="Verdana"/>
      <family val="2"/>
    </font>
    <font>
      <sz val="18"/>
      <color theme="1"/>
      <name val="Verdana"/>
      <family val="2"/>
    </font>
    <font>
      <b/>
      <sz val="12"/>
      <color theme="1"/>
      <name val="Calibri"/>
      <family val="2"/>
    </font>
    <font>
      <sz val="12"/>
      <color theme="1"/>
      <name val="Calibri"/>
      <family val="2"/>
    </font>
    <font>
      <sz val="10"/>
      <color theme="1"/>
      <name val="Verdana"/>
      <family val="2"/>
    </font>
    <font>
      <sz val="12"/>
      <color theme="1"/>
      <name val="Verdana"/>
      <family val="2"/>
    </font>
    <font>
      <sz val="11"/>
      <color theme="1"/>
      <name val="Verdana"/>
      <family val="2"/>
    </font>
    <font>
      <sz val="10"/>
      <color theme="1"/>
      <name val="Arial"/>
      <family val="2"/>
    </font>
    <font>
      <sz val="10"/>
      <color theme="1"/>
      <name val="Calibri"/>
      <family val="2"/>
      <scheme val="minor"/>
    </font>
    <font>
      <sz val="11"/>
      <color theme="1"/>
      <name val="Calibri"/>
      <family val="2"/>
    </font>
    <font>
      <b/>
      <sz val="10"/>
      <color theme="1"/>
      <name val="Calibri"/>
      <family val="2"/>
    </font>
    <font>
      <b/>
      <sz val="12"/>
      <color rgb="FFFF0000"/>
      <name val="Calibri"/>
      <family val="2"/>
    </font>
    <font>
      <b/>
      <sz val="22"/>
      <color theme="4"/>
      <name val="Calibri"/>
      <family val="2"/>
    </font>
    <font>
      <sz val="12"/>
      <color rgb="FFC00000"/>
      <name val="Calibri"/>
      <family val="2"/>
    </font>
    <font>
      <sz val="10"/>
      <color rgb="FFFF0000"/>
      <name val="Calibri"/>
      <family val="2"/>
    </font>
    <font>
      <sz val="8"/>
      <color rgb="FFFF0000"/>
      <name val="Calibri"/>
      <family val="2"/>
    </font>
    <font>
      <b/>
      <sz val="10"/>
      <color rgb="FFFF0000"/>
      <name val="Calibri"/>
      <family val="2"/>
    </font>
    <font>
      <b/>
      <sz val="11"/>
      <color theme="1"/>
      <name val="Calibri"/>
      <family val="2"/>
      <scheme val="minor"/>
    </font>
    <font>
      <sz val="9"/>
      <color theme="1"/>
      <name val="Verdana"/>
      <family val="2"/>
    </font>
    <font>
      <sz val="10"/>
      <color rgb="FF222222"/>
      <name val="Calibri"/>
      <family val="2"/>
    </font>
    <font>
      <sz val="10"/>
      <name val="Calibri"/>
      <family val="2"/>
      <scheme val="minor"/>
    </font>
    <font>
      <sz val="10"/>
      <name val="Calibri"/>
      <family val="2"/>
    </font>
  </fonts>
  <fills count="15">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theme="0"/>
        <bgColor indexed="27"/>
      </patternFill>
    </fill>
    <fill>
      <patternFill patternType="solid">
        <fgColor theme="0" tint="-4.9989318521683403E-2"/>
        <bgColor indexed="64"/>
      </patternFill>
    </fill>
    <fill>
      <patternFill patternType="solid">
        <fgColor indexed="47"/>
        <bgColor indexed="27"/>
      </patternFill>
    </fill>
    <fill>
      <patternFill patternType="solid">
        <fgColor theme="8" tint="0.59999389629810485"/>
        <bgColor indexed="27"/>
      </patternFill>
    </fill>
    <fill>
      <patternFill patternType="solid">
        <fgColor theme="8" tint="0.79998168889431442"/>
        <bgColor indexed="26"/>
      </patternFill>
    </fill>
    <fill>
      <patternFill patternType="solid">
        <fgColor theme="0" tint="-0.14999847407452621"/>
        <bgColor indexed="9"/>
      </patternFill>
    </fill>
    <fill>
      <patternFill patternType="solid">
        <fgColor theme="0" tint="-0.14999847407452621"/>
        <bgColor indexed="64"/>
      </patternFill>
    </fill>
    <fill>
      <patternFill patternType="solid">
        <fgColor rgb="FFFFC1C1"/>
        <bgColor indexed="26"/>
      </patternFill>
    </fill>
    <fill>
      <patternFill patternType="solid">
        <fgColor theme="0" tint="-0.14999847407452621"/>
        <bgColor indexed="26"/>
      </patternFill>
    </fill>
    <fill>
      <patternFill patternType="solid">
        <fgColor theme="5" tint="0.59999389629810485"/>
        <bgColor indexed="27"/>
      </patternFill>
    </fill>
  </fills>
  <borders count="56">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8"/>
      </right>
      <top style="thin">
        <color indexed="8"/>
      </top>
      <bottom style="thin">
        <color indexed="64"/>
      </bottom>
      <diagonal/>
    </border>
    <border>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medium">
        <color indexed="8"/>
      </left>
      <right style="medium">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s>
  <cellStyleXfs count="3">
    <xf numFmtId="0" fontId="0" fillId="0" borderId="0"/>
    <xf numFmtId="0" fontId="2" fillId="0" borderId="0"/>
    <xf numFmtId="0" fontId="6" fillId="0" borderId="0" applyNumberFormat="0" applyFill="0" applyBorder="0" applyAlignment="0" applyProtection="0"/>
  </cellStyleXfs>
  <cellXfs count="431">
    <xf numFmtId="0" fontId="0" fillId="0" borderId="0" xfId="0"/>
    <xf numFmtId="166" fontId="5" fillId="2" borderId="20" xfId="1" applyNumberFormat="1" applyFont="1" applyFill="1" applyBorder="1" applyAlignment="1" applyProtection="1">
      <alignment horizontal="center" vertical="center"/>
      <protection locked="0"/>
    </xf>
    <xf numFmtId="0" fontId="7" fillId="0" borderId="17" xfId="2" applyFont="1" applyBorder="1" applyAlignment="1" applyProtection="1">
      <alignment horizontal="center" vertical="center"/>
      <protection locked="0"/>
    </xf>
    <xf numFmtId="165" fontId="3" fillId="9" borderId="9" xfId="1" applyNumberFormat="1" applyFont="1" applyFill="1" applyBorder="1" applyAlignment="1">
      <alignment horizontal="center"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xf>
    <xf numFmtId="164" fontId="5" fillId="2" borderId="0" xfId="1" applyNumberFormat="1" applyFont="1" applyFill="1" applyAlignment="1">
      <alignment horizontal="left" vertical="center"/>
    </xf>
    <xf numFmtId="165" fontId="5" fillId="2" borderId="0" xfId="1" applyNumberFormat="1" applyFont="1" applyFill="1" applyAlignment="1">
      <alignment horizontal="center" vertical="center"/>
    </xf>
    <xf numFmtId="166" fontId="5" fillId="2" borderId="0" xfId="1" applyNumberFormat="1" applyFont="1" applyFill="1" applyAlignment="1">
      <alignment horizontal="center" vertical="center"/>
    </xf>
    <xf numFmtId="164" fontId="5" fillId="2" borderId="0" xfId="1" applyNumberFormat="1" applyFont="1" applyFill="1" applyAlignment="1">
      <alignment horizontal="center" vertical="center"/>
    </xf>
    <xf numFmtId="49" fontId="5" fillId="2" borderId="0" xfId="1" applyNumberFormat="1" applyFont="1" applyFill="1" applyAlignment="1">
      <alignment horizontal="center" vertical="center"/>
    </xf>
    <xf numFmtId="2" fontId="5" fillId="2" borderId="0" xfId="1" applyNumberFormat="1" applyFont="1" applyFill="1" applyAlignment="1">
      <alignment horizontal="center" vertical="center"/>
    </xf>
    <xf numFmtId="1" fontId="5" fillId="2" borderId="0" xfId="1" applyNumberFormat="1" applyFont="1" applyFill="1" applyAlignment="1">
      <alignment horizontal="center" vertical="center"/>
    </xf>
    <xf numFmtId="0" fontId="1" fillId="3" borderId="0" xfId="0" applyFont="1" applyFill="1"/>
    <xf numFmtId="0" fontId="1" fillId="0" borderId="0" xfId="0" applyFont="1"/>
    <xf numFmtId="0" fontId="12" fillId="9" borderId="2" xfId="1" applyFont="1" applyFill="1" applyBorder="1" applyAlignment="1">
      <alignment horizontal="center" vertical="center" wrapText="1"/>
    </xf>
    <xf numFmtId="165" fontId="5" fillId="9" borderId="2" xfId="1" applyNumberFormat="1" applyFont="1" applyFill="1" applyBorder="1" applyAlignment="1">
      <alignment horizontal="center" vertical="center"/>
    </xf>
    <xf numFmtId="0" fontId="5" fillId="9" borderId="5" xfId="1" applyFont="1" applyFill="1" applyBorder="1" applyAlignment="1">
      <alignment horizontal="center" vertical="center"/>
    </xf>
    <xf numFmtId="0" fontId="5" fillId="9" borderId="5" xfId="1" applyFont="1" applyFill="1" applyBorder="1" applyAlignment="1">
      <alignment horizontal="center" vertical="center" wrapText="1" readingOrder="1"/>
    </xf>
    <xf numFmtId="0" fontId="15" fillId="9" borderId="5" xfId="1" applyFont="1" applyFill="1" applyBorder="1" applyAlignment="1">
      <alignment horizontal="center" vertical="center" wrapText="1" readingOrder="1"/>
    </xf>
    <xf numFmtId="165" fontId="5" fillId="9" borderId="5" xfId="1" applyNumberFormat="1" applyFont="1" applyFill="1" applyBorder="1" applyAlignment="1">
      <alignment horizontal="center" vertical="center" wrapText="1"/>
    </xf>
    <xf numFmtId="0" fontId="15" fillId="9" borderId="5" xfId="1" applyFont="1" applyFill="1" applyBorder="1" applyAlignment="1">
      <alignment horizontal="center" vertical="center"/>
    </xf>
    <xf numFmtId="49" fontId="15" fillId="9" borderId="5" xfId="1" applyNumberFormat="1" applyFont="1" applyFill="1" applyBorder="1" applyAlignment="1">
      <alignment horizontal="center" vertical="center"/>
    </xf>
    <xf numFmtId="2" fontId="5" fillId="9" borderId="5" xfId="1" applyNumberFormat="1" applyFont="1" applyFill="1" applyBorder="1" applyAlignment="1">
      <alignment horizontal="center" vertical="center"/>
    </xf>
    <xf numFmtId="0" fontId="5" fillId="9" borderId="5" xfId="1" applyFont="1" applyFill="1" applyBorder="1" applyAlignment="1">
      <alignment horizontal="center" vertical="center" wrapText="1"/>
    </xf>
    <xf numFmtId="0" fontId="5" fillId="9" borderId="6" xfId="1" applyFont="1" applyFill="1" applyBorder="1" applyAlignment="1">
      <alignment horizontal="center" vertical="center" wrapText="1"/>
    </xf>
    <xf numFmtId="0" fontId="5" fillId="4" borderId="0" xfId="1" applyFont="1" applyFill="1" applyAlignment="1">
      <alignment vertical="center"/>
    </xf>
    <xf numFmtId="0" fontId="12" fillId="9" borderId="8" xfId="1" applyFont="1" applyFill="1" applyBorder="1" applyAlignment="1">
      <alignment horizontal="center" vertical="center" wrapText="1"/>
    </xf>
    <xf numFmtId="0" fontId="14" fillId="9" borderId="8" xfId="1" applyFont="1" applyFill="1" applyBorder="1" applyAlignment="1">
      <alignment horizontal="center" vertical="center"/>
    </xf>
    <xf numFmtId="0" fontId="16" fillId="9" borderId="4" xfId="1" applyFont="1" applyFill="1" applyBorder="1" applyAlignment="1">
      <alignment horizontal="center" vertical="center"/>
    </xf>
    <xf numFmtId="0" fontId="15" fillId="9" borderId="6" xfId="1" applyFont="1" applyFill="1" applyBorder="1" applyAlignment="1">
      <alignment horizontal="center" vertical="center"/>
    </xf>
    <xf numFmtId="0" fontId="16" fillId="9" borderId="0" xfId="1" applyFont="1" applyFill="1" applyAlignment="1">
      <alignment horizontal="center" vertical="center" wrapText="1" readingOrder="1"/>
    </xf>
    <xf numFmtId="0" fontId="16" fillId="9" borderId="10" xfId="1" applyFont="1" applyFill="1" applyBorder="1" applyAlignment="1">
      <alignment horizontal="center" vertical="center" wrapText="1"/>
    </xf>
    <xf numFmtId="0" fontId="14" fillId="9" borderId="11" xfId="1" applyFont="1" applyFill="1" applyBorder="1" applyAlignment="1">
      <alignment horizontal="center" vertical="center" wrapText="1"/>
    </xf>
    <xf numFmtId="0" fontId="14" fillId="9" borderId="12" xfId="1" applyFont="1" applyFill="1" applyBorder="1" applyAlignment="1">
      <alignment horizontal="center" vertical="center" wrapText="1"/>
    </xf>
    <xf numFmtId="0" fontId="14" fillId="9" borderId="13" xfId="1" applyFont="1" applyFill="1" applyBorder="1" applyAlignment="1">
      <alignment horizontal="center" vertical="center" wrapText="1"/>
    </xf>
    <xf numFmtId="165" fontId="14" fillId="9" borderId="11" xfId="1" applyNumberFormat="1" applyFont="1" applyFill="1" applyBorder="1" applyAlignment="1">
      <alignment horizontal="center" vertical="center" wrapText="1"/>
    </xf>
    <xf numFmtId="165" fontId="14" fillId="9" borderId="12" xfId="1" applyNumberFormat="1" applyFont="1" applyFill="1" applyBorder="1" applyAlignment="1">
      <alignment horizontal="center" vertical="center" wrapText="1"/>
    </xf>
    <xf numFmtId="166" fontId="5" fillId="9" borderId="14" xfId="1" applyNumberFormat="1" applyFont="1" applyFill="1" applyBorder="1" applyAlignment="1">
      <alignment horizontal="center" vertical="center" wrapText="1"/>
    </xf>
    <xf numFmtId="0" fontId="5" fillId="9" borderId="14" xfId="1" applyFont="1" applyFill="1" applyBorder="1" applyAlignment="1">
      <alignment horizontal="center" vertical="center" wrapText="1"/>
    </xf>
    <xf numFmtId="0" fontId="5" fillId="9" borderId="14" xfId="1" applyFont="1" applyFill="1" applyBorder="1" applyAlignment="1">
      <alignment horizontal="center" vertical="center"/>
    </xf>
    <xf numFmtId="49" fontId="5" fillId="9" borderId="14" xfId="1" applyNumberFormat="1" applyFont="1" applyFill="1" applyBorder="1" applyAlignment="1">
      <alignment horizontal="center" vertical="center" wrapText="1"/>
    </xf>
    <xf numFmtId="2" fontId="5" fillId="9" borderId="15" xfId="1" applyNumberFormat="1" applyFont="1" applyFill="1" applyBorder="1" applyAlignment="1">
      <alignment horizontal="center" vertical="center" wrapText="1"/>
    </xf>
    <xf numFmtId="2" fontId="5" fillId="9" borderId="12" xfId="1" applyNumberFormat="1" applyFont="1" applyFill="1" applyBorder="1" applyAlignment="1">
      <alignment horizontal="center" vertical="center" wrapText="1"/>
    </xf>
    <xf numFmtId="2" fontId="5" fillId="9" borderId="14" xfId="1" applyNumberFormat="1" applyFont="1" applyFill="1" applyBorder="1" applyAlignment="1">
      <alignment horizontal="center" vertical="center" wrapText="1"/>
    </xf>
    <xf numFmtId="0" fontId="5" fillId="9" borderId="15" xfId="1" applyFont="1" applyFill="1" applyBorder="1" applyAlignment="1">
      <alignment horizontal="center" vertical="center" wrapText="1"/>
    </xf>
    <xf numFmtId="1" fontId="5" fillId="9" borderId="16" xfId="1" applyNumberFormat="1" applyFont="1" applyFill="1" applyBorder="1" applyAlignment="1">
      <alignment horizontal="center" vertical="center"/>
    </xf>
    <xf numFmtId="1" fontId="5" fillId="9" borderId="14" xfId="1" applyNumberFormat="1" applyFont="1" applyFill="1" applyBorder="1" applyAlignment="1">
      <alignment horizontal="center" vertical="center"/>
    </xf>
    <xf numFmtId="1" fontId="5" fillId="9" borderId="14" xfId="1" applyNumberFormat="1" applyFont="1" applyFill="1" applyBorder="1" applyAlignment="1">
      <alignment horizontal="center" vertical="center" wrapText="1"/>
    </xf>
    <xf numFmtId="1" fontId="5" fillId="9" borderId="15" xfId="1" applyNumberFormat="1" applyFont="1" applyFill="1" applyBorder="1" applyAlignment="1">
      <alignment horizontal="center" vertical="center"/>
    </xf>
    <xf numFmtId="165" fontId="5" fillId="9" borderId="12" xfId="1" applyNumberFormat="1" applyFont="1" applyFill="1" applyBorder="1" applyAlignment="1">
      <alignment horizontal="center" vertical="center" wrapText="1"/>
    </xf>
    <xf numFmtId="164" fontId="5" fillId="9" borderId="14" xfId="1" applyNumberFormat="1" applyFont="1" applyFill="1" applyBorder="1" applyAlignment="1">
      <alignment horizontal="center" vertical="center" wrapText="1"/>
    </xf>
    <xf numFmtId="164" fontId="5" fillId="9" borderId="13" xfId="1" applyNumberFormat="1" applyFont="1" applyFill="1" applyBorder="1" applyAlignment="1">
      <alignment horizontal="center" vertical="center" wrapText="1"/>
    </xf>
    <xf numFmtId="2" fontId="5" fillId="9" borderId="16" xfId="1" applyNumberFormat="1" applyFont="1" applyFill="1" applyBorder="1" applyAlignment="1">
      <alignment horizontal="center" vertical="center"/>
    </xf>
    <xf numFmtId="2" fontId="5" fillId="9" borderId="14" xfId="1" applyNumberFormat="1" applyFont="1" applyFill="1" applyBorder="1" applyAlignment="1">
      <alignment horizontal="center" vertical="center"/>
    </xf>
    <xf numFmtId="2" fontId="5" fillId="9" borderId="13" xfId="1" applyNumberFormat="1" applyFont="1" applyFill="1" applyBorder="1" applyAlignment="1">
      <alignment horizontal="center" vertical="center" wrapText="1"/>
    </xf>
    <xf numFmtId="0" fontId="5" fillId="9" borderId="12" xfId="1" applyFont="1" applyFill="1" applyBorder="1" applyAlignment="1">
      <alignment horizontal="center" vertical="center"/>
    </xf>
    <xf numFmtId="2" fontId="5" fillId="9" borderId="12" xfId="1" applyNumberFormat="1" applyFont="1" applyFill="1" applyBorder="1" applyAlignment="1">
      <alignment horizontal="center" vertical="center"/>
    </xf>
    <xf numFmtId="0" fontId="5" fillId="9" borderId="12" xfId="1" applyFont="1" applyFill="1" applyBorder="1" applyAlignment="1">
      <alignment horizontal="center" vertical="center" wrapText="1"/>
    </xf>
    <xf numFmtId="0" fontId="5" fillId="9" borderId="13" xfId="1" applyFont="1" applyFill="1" applyBorder="1" applyAlignment="1">
      <alignment horizontal="center" vertical="center" wrapText="1"/>
    </xf>
    <xf numFmtId="2" fontId="5" fillId="9" borderId="16" xfId="1" applyNumberFormat="1" applyFont="1" applyFill="1" applyBorder="1" applyAlignment="1">
      <alignment horizontal="center" vertical="center" wrapText="1"/>
    </xf>
    <xf numFmtId="0" fontId="5" fillId="9" borderId="11" xfId="1" applyFont="1" applyFill="1" applyBorder="1" applyAlignment="1">
      <alignment horizontal="center" vertical="center" wrapText="1"/>
    </xf>
    <xf numFmtId="0" fontId="18" fillId="3" borderId="0" xfId="0" applyFont="1" applyFill="1"/>
    <xf numFmtId="0" fontId="14" fillId="2" borderId="17" xfId="1" applyFont="1" applyFill="1" applyBorder="1" applyAlignment="1" applyProtection="1">
      <alignment horizontal="center" vertical="center"/>
      <protection locked="0"/>
    </xf>
    <xf numFmtId="0" fontId="14" fillId="4" borderId="17" xfId="1" applyFont="1" applyFill="1" applyBorder="1" applyAlignment="1" applyProtection="1">
      <alignment horizontal="center" vertical="center"/>
      <protection locked="0"/>
    </xf>
    <xf numFmtId="0" fontId="5" fillId="4" borderId="18" xfId="1" applyFont="1" applyFill="1" applyBorder="1" applyAlignment="1" applyProtection="1">
      <alignment horizontal="center" vertical="center" wrapText="1"/>
      <protection locked="0"/>
    </xf>
    <xf numFmtId="0" fontId="5" fillId="4" borderId="19" xfId="1" applyFont="1" applyFill="1" applyBorder="1" applyAlignment="1" applyProtection="1">
      <alignment horizontal="center" vertical="center"/>
      <protection locked="0"/>
    </xf>
    <xf numFmtId="166" fontId="5" fillId="4" borderId="20" xfId="1" applyNumberFormat="1" applyFont="1" applyFill="1" applyBorder="1" applyAlignment="1" applyProtection="1">
      <alignment horizontal="center" vertical="center"/>
      <protection locked="0"/>
    </xf>
    <xf numFmtId="0" fontId="5" fillId="4" borderId="20" xfId="1" applyFont="1" applyFill="1" applyBorder="1" applyAlignment="1" applyProtection="1">
      <alignment horizontal="center" vertical="center"/>
      <protection locked="0"/>
    </xf>
    <xf numFmtId="49" fontId="5" fillId="4" borderId="20" xfId="1" applyNumberFormat="1" applyFont="1" applyFill="1" applyBorder="1" applyAlignment="1" applyProtection="1">
      <alignment horizontal="center" vertical="center" wrapText="1"/>
      <protection locked="0"/>
    </xf>
    <xf numFmtId="0" fontId="5" fillId="4" borderId="21" xfId="1" applyFont="1" applyFill="1" applyBorder="1" applyAlignment="1" applyProtection="1">
      <alignment horizontal="center" vertical="center"/>
      <protection locked="0"/>
    </xf>
    <xf numFmtId="0" fontId="5" fillId="4" borderId="18" xfId="1" applyFont="1" applyFill="1" applyBorder="1" applyAlignment="1" applyProtection="1">
      <alignment horizontal="center" vertical="center"/>
      <protection locked="0"/>
    </xf>
    <xf numFmtId="2" fontId="5" fillId="4" borderId="20" xfId="1" applyNumberFormat="1" applyFont="1" applyFill="1" applyBorder="1" applyAlignment="1" applyProtection="1">
      <alignment horizontal="center" vertical="center"/>
      <protection locked="0"/>
    </xf>
    <xf numFmtId="1" fontId="5" fillId="4" borderId="22" xfId="1" applyNumberFormat="1" applyFont="1" applyFill="1" applyBorder="1" applyAlignment="1" applyProtection="1">
      <alignment horizontal="center" vertical="center"/>
      <protection locked="0"/>
    </xf>
    <xf numFmtId="1" fontId="5" fillId="4" borderId="20" xfId="1" applyNumberFormat="1" applyFont="1" applyFill="1" applyBorder="1" applyAlignment="1" applyProtection="1">
      <alignment horizontal="center" vertical="center"/>
      <protection locked="0"/>
    </xf>
    <xf numFmtId="165" fontId="5" fillId="4" borderId="18" xfId="1" applyNumberFormat="1" applyFont="1" applyFill="1" applyBorder="1" applyAlignment="1" applyProtection="1">
      <alignment horizontal="center" vertical="center"/>
      <protection locked="0"/>
    </xf>
    <xf numFmtId="165" fontId="5" fillId="4" borderId="20" xfId="1" applyNumberFormat="1" applyFont="1" applyFill="1" applyBorder="1" applyAlignment="1" applyProtection="1">
      <alignment horizontal="center" vertical="center"/>
      <protection locked="0"/>
    </xf>
    <xf numFmtId="164" fontId="5" fillId="4" borderId="20" xfId="1" applyNumberFormat="1" applyFont="1" applyFill="1" applyBorder="1" applyAlignment="1" applyProtection="1">
      <alignment horizontal="center" vertical="center"/>
      <protection locked="0"/>
    </xf>
    <xf numFmtId="2" fontId="5" fillId="4" borderId="22" xfId="1" applyNumberFormat="1" applyFont="1" applyFill="1" applyBorder="1" applyAlignment="1" applyProtection="1">
      <alignment horizontal="center" vertical="center"/>
      <protection locked="0"/>
    </xf>
    <xf numFmtId="49" fontId="5" fillId="4" borderId="20" xfId="1" applyNumberFormat="1" applyFont="1" applyFill="1" applyBorder="1" applyAlignment="1" applyProtection="1">
      <alignment horizontal="center" vertical="center"/>
      <protection locked="0"/>
    </xf>
    <xf numFmtId="2" fontId="5" fillId="4" borderId="18" xfId="1" applyNumberFormat="1" applyFont="1" applyFill="1" applyBorder="1" applyAlignment="1" applyProtection="1">
      <alignment horizontal="center" vertical="center"/>
      <protection locked="0"/>
    </xf>
    <xf numFmtId="2" fontId="5" fillId="4" borderId="19" xfId="1" applyNumberFormat="1" applyFont="1" applyFill="1" applyBorder="1" applyAlignment="1" applyProtection="1">
      <alignment horizontal="center" vertical="center"/>
      <protection locked="0"/>
    </xf>
    <xf numFmtId="2" fontId="5" fillId="2" borderId="22" xfId="1" applyNumberFormat="1" applyFont="1" applyFill="1" applyBorder="1" applyAlignment="1" applyProtection="1">
      <alignment horizontal="center" vertical="center"/>
      <protection locked="0"/>
    </xf>
    <xf numFmtId="0" fontId="14" fillId="0" borderId="17" xfId="1" applyFont="1" applyBorder="1" applyAlignment="1" applyProtection="1">
      <alignment horizontal="center" vertical="center"/>
      <protection locked="0"/>
    </xf>
    <xf numFmtId="0" fontId="5" fillId="2" borderId="18" xfId="1" applyFont="1" applyFill="1" applyBorder="1" applyAlignment="1" applyProtection="1">
      <alignment horizontal="center" vertical="center" wrapText="1"/>
      <protection locked="0"/>
    </xf>
    <xf numFmtId="0" fontId="5" fillId="2" borderId="19" xfId="1" applyFont="1" applyFill="1" applyBorder="1" applyAlignment="1" applyProtection="1">
      <alignment horizontal="center" vertical="center"/>
      <protection locked="0"/>
    </xf>
    <xf numFmtId="0" fontId="5" fillId="2" borderId="20" xfId="1" applyFont="1" applyFill="1" applyBorder="1" applyAlignment="1" applyProtection="1">
      <alignment horizontal="center" vertical="center"/>
      <protection locked="0"/>
    </xf>
    <xf numFmtId="49" fontId="5" fillId="2" borderId="20" xfId="1" applyNumberFormat="1" applyFont="1" applyFill="1" applyBorder="1" applyAlignment="1" applyProtection="1">
      <alignment horizontal="center" vertical="center" wrapText="1"/>
      <protection locked="0"/>
    </xf>
    <xf numFmtId="0" fontId="5" fillId="2" borderId="21" xfId="1" applyFont="1" applyFill="1" applyBorder="1" applyAlignment="1" applyProtection="1">
      <alignment horizontal="center" vertical="center" wrapText="1"/>
      <protection locked="0"/>
    </xf>
    <xf numFmtId="0" fontId="5" fillId="2" borderId="18" xfId="1" applyFont="1" applyFill="1" applyBorder="1" applyAlignment="1" applyProtection="1">
      <alignment horizontal="center" vertical="center"/>
      <protection locked="0"/>
    </xf>
    <xf numFmtId="2" fontId="5" fillId="2" borderId="20" xfId="1" applyNumberFormat="1" applyFont="1" applyFill="1" applyBorder="1" applyAlignment="1" applyProtection="1">
      <alignment horizontal="center" vertical="center"/>
      <protection locked="0"/>
    </xf>
    <xf numFmtId="1" fontId="5" fillId="2" borderId="22" xfId="1" applyNumberFormat="1" applyFont="1" applyFill="1" applyBorder="1" applyAlignment="1" applyProtection="1">
      <alignment horizontal="center" vertical="center"/>
      <protection locked="0"/>
    </xf>
    <xf numFmtId="1" fontId="5" fillId="2" borderId="20" xfId="1" applyNumberFormat="1" applyFont="1" applyFill="1" applyBorder="1" applyAlignment="1" applyProtection="1">
      <alignment horizontal="center" vertical="center"/>
      <protection locked="0"/>
    </xf>
    <xf numFmtId="165" fontId="5" fillId="2" borderId="18" xfId="1" applyNumberFormat="1" applyFont="1" applyFill="1" applyBorder="1" applyAlignment="1" applyProtection="1">
      <alignment horizontal="center" vertical="center"/>
      <protection locked="0"/>
    </xf>
    <xf numFmtId="165" fontId="5" fillId="2" borderId="20" xfId="1" applyNumberFormat="1" applyFont="1" applyFill="1" applyBorder="1" applyAlignment="1" applyProtection="1">
      <alignment horizontal="center" vertical="center"/>
      <protection locked="0"/>
    </xf>
    <xf numFmtId="164" fontId="5" fillId="2" borderId="20" xfId="1" applyNumberFormat="1" applyFont="1" applyFill="1" applyBorder="1" applyAlignment="1" applyProtection="1">
      <alignment horizontal="center" vertical="center"/>
      <protection locked="0"/>
    </xf>
    <xf numFmtId="49" fontId="5" fillId="2" borderId="20" xfId="1" applyNumberFormat="1" applyFont="1" applyFill="1" applyBorder="1" applyAlignment="1" applyProtection="1">
      <alignment horizontal="center" vertical="center"/>
      <protection locked="0"/>
    </xf>
    <xf numFmtId="2" fontId="5" fillId="2" borderId="18" xfId="1" applyNumberFormat="1" applyFont="1" applyFill="1" applyBorder="1" applyAlignment="1" applyProtection="1">
      <alignment horizontal="center" vertical="center"/>
      <protection locked="0"/>
    </xf>
    <xf numFmtId="2" fontId="5" fillId="2" borderId="19" xfId="1" applyNumberFormat="1" applyFont="1" applyFill="1" applyBorder="1" applyAlignment="1" applyProtection="1">
      <alignment horizontal="center" vertical="center"/>
      <protection locked="0"/>
    </xf>
    <xf numFmtId="0" fontId="5" fillId="2" borderId="21" xfId="1" applyFont="1" applyFill="1" applyBorder="1" applyAlignment="1" applyProtection="1">
      <alignment horizontal="center" vertical="center"/>
      <protection locked="0"/>
    </xf>
    <xf numFmtId="49" fontId="5" fillId="2" borderId="18" xfId="1" applyNumberFormat="1" applyFont="1" applyFill="1" applyBorder="1" applyAlignment="1" applyProtection="1">
      <alignment horizontal="center" vertical="center"/>
      <protection locked="0"/>
    </xf>
    <xf numFmtId="170" fontId="5" fillId="2" borderId="21" xfId="1" applyNumberFormat="1" applyFont="1" applyFill="1" applyBorder="1" applyAlignment="1" applyProtection="1">
      <alignment horizontal="center" vertical="center"/>
      <protection locked="0"/>
    </xf>
    <xf numFmtId="1" fontId="5" fillId="2" borderId="19" xfId="1" applyNumberFormat="1" applyFont="1" applyFill="1" applyBorder="1" applyAlignment="1" applyProtection="1">
      <alignment horizontal="center" vertical="center"/>
      <protection locked="0"/>
    </xf>
    <xf numFmtId="1" fontId="5" fillId="2" borderId="24" xfId="1" applyNumberFormat="1" applyFont="1" applyFill="1" applyBorder="1" applyAlignment="1" applyProtection="1">
      <alignment horizontal="center" vertical="center"/>
      <protection locked="0"/>
    </xf>
    <xf numFmtId="0" fontId="5" fillId="5" borderId="0" xfId="1" applyFont="1" applyFill="1" applyAlignment="1">
      <alignment vertical="center"/>
    </xf>
    <xf numFmtId="1" fontId="5" fillId="4" borderId="24" xfId="1" applyNumberFormat="1" applyFont="1" applyFill="1" applyBorder="1" applyAlignment="1" applyProtection="1">
      <alignment horizontal="center" vertical="center"/>
      <protection locked="0"/>
    </xf>
    <xf numFmtId="0" fontId="5" fillId="3" borderId="0" xfId="1" applyFont="1" applyFill="1" applyAlignment="1">
      <alignment vertical="center"/>
    </xf>
    <xf numFmtId="166" fontId="5" fillId="2" borderId="20" xfId="1" quotePrefix="1" applyNumberFormat="1" applyFont="1" applyFill="1" applyBorder="1" applyAlignment="1" applyProtection="1">
      <alignment horizontal="center" vertical="center"/>
      <protection locked="0"/>
    </xf>
    <xf numFmtId="1" fontId="5" fillId="2" borderId="27" xfId="1" applyNumberFormat="1" applyFont="1" applyFill="1" applyBorder="1" applyAlignment="1" applyProtection="1">
      <alignment horizontal="center" vertical="center"/>
      <protection locked="0"/>
    </xf>
    <xf numFmtId="0" fontId="5" fillId="0" borderId="0" xfId="1" applyFont="1" applyAlignment="1">
      <alignment vertical="center"/>
    </xf>
    <xf numFmtId="170" fontId="5" fillId="4" borderId="18" xfId="1" applyNumberFormat="1" applyFont="1" applyFill="1" applyBorder="1" applyAlignment="1" applyProtection="1">
      <alignment horizontal="center" vertical="center"/>
      <protection locked="0"/>
    </xf>
    <xf numFmtId="0" fontId="5" fillId="0" borderId="18" xfId="1" applyFont="1" applyBorder="1" applyAlignment="1" applyProtection="1">
      <alignment horizontal="center" vertical="center" wrapText="1"/>
      <protection locked="0"/>
    </xf>
    <xf numFmtId="0" fontId="5" fillId="0" borderId="19" xfId="1" applyFont="1" applyBorder="1" applyAlignment="1" applyProtection="1">
      <alignment horizontal="center" vertical="center"/>
      <protection locked="0"/>
    </xf>
    <xf numFmtId="0" fontId="5" fillId="2" borderId="19" xfId="1" applyFont="1" applyFill="1" applyBorder="1" applyAlignment="1" applyProtection="1">
      <alignment horizontal="center" vertical="center" wrapText="1"/>
      <protection locked="0"/>
    </xf>
    <xf numFmtId="2" fontId="19" fillId="3" borderId="20" xfId="0" applyNumberFormat="1" applyFont="1" applyFill="1" applyBorder="1" applyAlignment="1" applyProtection="1">
      <alignment horizontal="center" vertical="center"/>
      <protection locked="0"/>
    </xf>
    <xf numFmtId="0" fontId="5" fillId="2" borderId="20" xfId="1" applyFont="1" applyFill="1" applyBorder="1" applyAlignment="1" applyProtection="1">
      <alignment horizontal="center" vertical="center" wrapText="1"/>
      <protection locked="0"/>
    </xf>
    <xf numFmtId="169" fontId="5" fillId="2" borderId="20" xfId="1" applyNumberFormat="1" applyFont="1" applyFill="1" applyBorder="1" applyAlignment="1" applyProtection="1">
      <alignment horizontal="center" vertical="center"/>
      <protection locked="0"/>
    </xf>
    <xf numFmtId="170" fontId="5" fillId="2" borderId="18" xfId="1" applyNumberFormat="1" applyFont="1" applyFill="1" applyBorder="1" applyAlignment="1" applyProtection="1">
      <alignment horizontal="center" vertical="center"/>
      <protection locked="0"/>
    </xf>
    <xf numFmtId="2" fontId="5" fillId="2" borderId="28" xfId="1" applyNumberFormat="1" applyFont="1" applyFill="1" applyBorder="1" applyAlignment="1" applyProtection="1">
      <alignment horizontal="center" vertical="center"/>
      <protection locked="0"/>
    </xf>
    <xf numFmtId="2" fontId="5" fillId="2" borderId="24" xfId="1" applyNumberFormat="1" applyFont="1" applyFill="1" applyBorder="1" applyAlignment="1" applyProtection="1">
      <alignment horizontal="center" vertical="center"/>
      <protection locked="0"/>
    </xf>
    <xf numFmtId="2" fontId="19" fillId="3" borderId="22" xfId="0" applyNumberFormat="1" applyFont="1" applyFill="1" applyBorder="1" applyAlignment="1" applyProtection="1">
      <alignment horizontal="center" vertical="center"/>
      <protection locked="0"/>
    </xf>
    <xf numFmtId="2" fontId="5" fillId="2" borderId="23" xfId="1" applyNumberFormat="1" applyFont="1" applyFill="1" applyBorder="1" applyAlignment="1" applyProtection="1">
      <alignment horizontal="center" vertical="center"/>
      <protection locked="0"/>
    </xf>
    <xf numFmtId="2" fontId="5" fillId="2" borderId="29" xfId="1" applyNumberFormat="1" applyFont="1" applyFill="1" applyBorder="1" applyAlignment="1" applyProtection="1">
      <alignment horizontal="center" vertical="center"/>
      <protection locked="0"/>
    </xf>
    <xf numFmtId="164" fontId="5" fillId="0" borderId="20" xfId="1" applyNumberFormat="1" applyFont="1" applyBorder="1" applyAlignment="1" applyProtection="1">
      <alignment horizontal="center" vertical="center"/>
      <protection locked="0"/>
    </xf>
    <xf numFmtId="49" fontId="5" fillId="0" borderId="18" xfId="1" applyNumberFormat="1" applyFont="1" applyBorder="1" applyAlignment="1" applyProtection="1">
      <alignment horizontal="center" vertical="center"/>
      <protection locked="0"/>
    </xf>
    <xf numFmtId="166" fontId="5" fillId="0" borderId="20" xfId="1" applyNumberFormat="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49" fontId="5" fillId="0" borderId="20" xfId="1" applyNumberFormat="1" applyFont="1" applyBorder="1" applyAlignment="1" applyProtection="1">
      <alignment horizontal="center" vertical="center"/>
      <protection locked="0"/>
    </xf>
    <xf numFmtId="170" fontId="5" fillId="0" borderId="21" xfId="1" applyNumberFormat="1" applyFont="1" applyBorder="1" applyAlignment="1" applyProtection="1">
      <alignment horizontal="center" vertical="center"/>
      <protection locked="0"/>
    </xf>
    <xf numFmtId="0" fontId="5" fillId="0" borderId="18" xfId="1" applyFont="1" applyBorder="1" applyAlignment="1" applyProtection="1">
      <alignment horizontal="center" vertical="center"/>
      <protection locked="0"/>
    </xf>
    <xf numFmtId="2" fontId="5" fillId="0" borderId="20" xfId="1" applyNumberFormat="1" applyFont="1" applyBorder="1" applyAlignment="1" applyProtection="1">
      <alignment horizontal="center" vertical="center"/>
      <protection locked="0"/>
    </xf>
    <xf numFmtId="1" fontId="5" fillId="0" borderId="22" xfId="1" applyNumberFormat="1" applyFont="1" applyBorder="1" applyAlignment="1" applyProtection="1">
      <alignment horizontal="center" vertical="center"/>
      <protection locked="0"/>
    </xf>
    <xf numFmtId="1" fontId="5" fillId="0" borderId="20" xfId="1" applyNumberFormat="1" applyFont="1" applyBorder="1" applyAlignment="1" applyProtection="1">
      <alignment horizontal="center" vertical="center"/>
      <protection locked="0"/>
    </xf>
    <xf numFmtId="165" fontId="5" fillId="0" borderId="18" xfId="1" applyNumberFormat="1" applyFont="1" applyBorder="1" applyAlignment="1" applyProtection="1">
      <alignment horizontal="center" vertical="center"/>
      <protection locked="0"/>
    </xf>
    <xf numFmtId="165" fontId="5" fillId="0" borderId="20" xfId="1" applyNumberFormat="1" applyFont="1" applyBorder="1" applyAlignment="1" applyProtection="1">
      <alignment horizontal="center" vertical="center"/>
      <protection locked="0"/>
    </xf>
    <xf numFmtId="2" fontId="5" fillId="0" borderId="22" xfId="1" applyNumberFormat="1" applyFont="1" applyBorder="1" applyAlignment="1" applyProtection="1">
      <alignment horizontal="center" vertical="center"/>
      <protection locked="0"/>
    </xf>
    <xf numFmtId="2" fontId="5" fillId="0" borderId="18" xfId="1" applyNumberFormat="1" applyFont="1" applyBorder="1" applyAlignment="1" applyProtection="1">
      <alignment horizontal="center" vertical="center"/>
      <protection locked="0"/>
    </xf>
    <xf numFmtId="2" fontId="5" fillId="0" borderId="19" xfId="1" applyNumberFormat="1" applyFont="1" applyBorder="1" applyAlignment="1" applyProtection="1">
      <alignment horizontal="center" vertical="center"/>
      <protection locked="0"/>
    </xf>
    <xf numFmtId="16" fontId="5" fillId="2" borderId="20" xfId="1" applyNumberFormat="1" applyFont="1" applyFill="1" applyBorder="1" applyAlignment="1" applyProtection="1">
      <alignment horizontal="center" vertical="center"/>
      <protection locked="0"/>
    </xf>
    <xf numFmtId="49" fontId="5" fillId="0" borderId="20" xfId="1" applyNumberFormat="1" applyFont="1" applyBorder="1" applyAlignment="1" applyProtection="1">
      <alignment horizontal="center" vertical="center" wrapText="1"/>
      <protection locked="0"/>
    </xf>
    <xf numFmtId="0" fontId="5" fillId="0" borderId="21" xfId="1" applyFont="1" applyBorder="1" applyAlignment="1" applyProtection="1">
      <alignment horizontal="center" vertical="center"/>
      <protection locked="0"/>
    </xf>
    <xf numFmtId="0" fontId="5" fillId="2" borderId="0" xfId="1" applyFont="1" applyFill="1" applyAlignment="1">
      <alignment horizontal="center" vertical="center" wrapText="1"/>
    </xf>
    <xf numFmtId="165" fontId="14" fillId="2" borderId="0" xfId="1" applyNumberFormat="1" applyFont="1" applyFill="1" applyAlignment="1">
      <alignment horizontal="center" vertical="center"/>
    </xf>
    <xf numFmtId="49" fontId="5" fillId="2" borderId="0" xfId="1" applyNumberFormat="1" applyFont="1" applyFill="1" applyAlignment="1">
      <alignment horizontal="center" vertical="center" wrapText="1"/>
    </xf>
    <xf numFmtId="169" fontId="5" fillId="2" borderId="0" xfId="1" applyNumberFormat="1" applyFont="1" applyFill="1" applyAlignment="1">
      <alignment horizontal="center" vertical="center"/>
    </xf>
    <xf numFmtId="167" fontId="5" fillId="2" borderId="0" xfId="1" applyNumberFormat="1" applyFont="1" applyFill="1" applyAlignment="1">
      <alignment horizontal="center" vertical="center"/>
    </xf>
    <xf numFmtId="168" fontId="5" fillId="2" borderId="0" xfId="1" applyNumberFormat="1" applyFont="1" applyFill="1" applyAlignment="1">
      <alignment horizontal="center" vertical="center"/>
    </xf>
    <xf numFmtId="0" fontId="13" fillId="7" borderId="11" xfId="1" applyFont="1" applyFill="1" applyBorder="1" applyAlignment="1">
      <alignment horizontal="center" vertical="center" wrapText="1"/>
    </xf>
    <xf numFmtId="0" fontId="13" fillId="7" borderId="12" xfId="1" applyFont="1" applyFill="1" applyBorder="1" applyAlignment="1">
      <alignment horizontal="center" vertical="center" wrapText="1"/>
    </xf>
    <xf numFmtId="0" fontId="13" fillId="7" borderId="13" xfId="1" applyFont="1" applyFill="1" applyBorder="1" applyAlignment="1">
      <alignment horizontal="center" vertical="center" wrapText="1"/>
    </xf>
    <xf numFmtId="165" fontId="13" fillId="7" borderId="11" xfId="1" applyNumberFormat="1" applyFont="1" applyFill="1" applyBorder="1" applyAlignment="1">
      <alignment horizontal="center" vertical="center" wrapText="1"/>
    </xf>
    <xf numFmtId="165" fontId="13" fillId="7" borderId="12" xfId="1" applyNumberFormat="1" applyFont="1" applyFill="1" applyBorder="1" applyAlignment="1">
      <alignment horizontal="center" vertical="center" wrapText="1"/>
    </xf>
    <xf numFmtId="166" fontId="21" fillId="7" borderId="14" xfId="1" applyNumberFormat="1" applyFont="1" applyFill="1" applyBorder="1" applyAlignment="1">
      <alignment horizontal="center" vertical="center" wrapText="1"/>
    </xf>
    <xf numFmtId="0" fontId="21" fillId="7" borderId="14" xfId="1" applyFont="1" applyFill="1" applyBorder="1" applyAlignment="1">
      <alignment horizontal="center" vertical="center" wrapText="1"/>
    </xf>
    <xf numFmtId="0" fontId="21" fillId="7" borderId="14" xfId="1" applyFont="1" applyFill="1" applyBorder="1" applyAlignment="1">
      <alignment horizontal="center" vertical="center"/>
    </xf>
    <xf numFmtId="49" fontId="5" fillId="7" borderId="14" xfId="1" applyNumberFormat="1" applyFont="1" applyFill="1" applyBorder="1" applyAlignment="1">
      <alignment horizontal="center" vertical="center" wrapText="1"/>
    </xf>
    <xf numFmtId="2" fontId="5" fillId="7" borderId="15" xfId="1" applyNumberFormat="1" applyFont="1" applyFill="1" applyBorder="1" applyAlignment="1">
      <alignment horizontal="center" vertical="center" wrapText="1"/>
    </xf>
    <xf numFmtId="2" fontId="5" fillId="7" borderId="12" xfId="1" applyNumberFormat="1" applyFont="1" applyFill="1" applyBorder="1" applyAlignment="1">
      <alignment horizontal="center" vertical="center" wrapText="1"/>
    </xf>
    <xf numFmtId="2" fontId="5" fillId="7" borderId="14" xfId="1" applyNumberFormat="1" applyFont="1" applyFill="1" applyBorder="1" applyAlignment="1">
      <alignment horizontal="center" vertical="center" wrapText="1"/>
    </xf>
    <xf numFmtId="0" fontId="5" fillId="7" borderId="14" xfId="1" applyFont="1" applyFill="1" applyBorder="1" applyAlignment="1">
      <alignment horizontal="center" vertical="center" wrapText="1"/>
    </xf>
    <xf numFmtId="168" fontId="5" fillId="7" borderId="15" xfId="1" applyNumberFormat="1" applyFont="1" applyFill="1" applyBorder="1" applyAlignment="1">
      <alignment horizontal="center" vertical="center" wrapText="1"/>
    </xf>
    <xf numFmtId="1" fontId="5" fillId="7" borderId="16" xfId="1" applyNumberFormat="1" applyFont="1" applyFill="1" applyBorder="1" applyAlignment="1">
      <alignment horizontal="center" vertical="center"/>
    </xf>
    <xf numFmtId="1" fontId="5" fillId="7" borderId="14" xfId="1" applyNumberFormat="1" applyFont="1" applyFill="1" applyBorder="1" applyAlignment="1">
      <alignment horizontal="center" vertical="center"/>
    </xf>
    <xf numFmtId="1" fontId="5" fillId="7" borderId="14" xfId="1" applyNumberFormat="1" applyFont="1" applyFill="1" applyBorder="1" applyAlignment="1">
      <alignment horizontal="center" vertical="center" wrapText="1"/>
    </xf>
    <xf numFmtId="1" fontId="5" fillId="7" borderId="15" xfId="1" applyNumberFormat="1" applyFont="1" applyFill="1" applyBorder="1" applyAlignment="1">
      <alignment horizontal="center" vertical="center"/>
    </xf>
    <xf numFmtId="165" fontId="5" fillId="7" borderId="12" xfId="1" applyNumberFormat="1" applyFont="1" applyFill="1" applyBorder="1" applyAlignment="1">
      <alignment horizontal="center" vertical="center" wrapText="1"/>
    </xf>
    <xf numFmtId="164" fontId="5" fillId="7" borderId="14" xfId="1" applyNumberFormat="1" applyFont="1" applyFill="1" applyBorder="1" applyAlignment="1">
      <alignment horizontal="center" vertical="center" wrapText="1"/>
    </xf>
    <xf numFmtId="164" fontId="5" fillId="7" borderId="13" xfId="1" applyNumberFormat="1" applyFont="1" applyFill="1" applyBorder="1" applyAlignment="1">
      <alignment horizontal="center" vertical="center" wrapText="1"/>
    </xf>
    <xf numFmtId="2" fontId="5" fillId="7" borderId="16" xfId="1" applyNumberFormat="1" applyFont="1" applyFill="1" applyBorder="1" applyAlignment="1">
      <alignment horizontal="center" vertical="center"/>
    </xf>
    <xf numFmtId="2" fontId="5" fillId="7" borderId="14" xfId="1" applyNumberFormat="1" applyFont="1" applyFill="1" applyBorder="1" applyAlignment="1">
      <alignment horizontal="center" vertical="center"/>
    </xf>
    <xf numFmtId="2" fontId="5" fillId="7" borderId="13" xfId="1" applyNumberFormat="1" applyFont="1" applyFill="1" applyBorder="1" applyAlignment="1">
      <alignment horizontal="center" vertical="center" wrapText="1"/>
    </xf>
    <xf numFmtId="0" fontId="5" fillId="7" borderId="12" xfId="1" applyFont="1" applyFill="1" applyBorder="1" applyAlignment="1">
      <alignment horizontal="center" vertical="center"/>
    </xf>
    <xf numFmtId="0" fontId="5" fillId="7" borderId="14" xfId="1" applyFont="1" applyFill="1" applyBorder="1" applyAlignment="1">
      <alignment horizontal="center" vertical="center"/>
    </xf>
    <xf numFmtId="2" fontId="5" fillId="7" borderId="12" xfId="1" applyNumberFormat="1" applyFont="1" applyFill="1" applyBorder="1" applyAlignment="1">
      <alignment horizontal="center" vertical="center"/>
    </xf>
    <xf numFmtId="0" fontId="5" fillId="7" borderId="15" xfId="1" applyFont="1" applyFill="1" applyBorder="1" applyAlignment="1">
      <alignment horizontal="center" vertical="center" wrapText="1"/>
    </xf>
    <xf numFmtId="0" fontId="5" fillId="7" borderId="12" xfId="1" applyFont="1" applyFill="1" applyBorder="1" applyAlignment="1">
      <alignment horizontal="center" vertical="center" wrapText="1"/>
    </xf>
    <xf numFmtId="0" fontId="5" fillId="7" borderId="13" xfId="1" applyFont="1" applyFill="1" applyBorder="1" applyAlignment="1">
      <alignment horizontal="center" vertical="center" wrapText="1"/>
    </xf>
    <xf numFmtId="2" fontId="5" fillId="7" borderId="16" xfId="1" applyNumberFormat="1" applyFont="1" applyFill="1" applyBorder="1" applyAlignment="1">
      <alignment horizontal="center" vertical="center" wrapText="1"/>
    </xf>
    <xf numFmtId="0" fontId="5" fillId="7" borderId="11" xfId="1" applyFont="1" applyFill="1" applyBorder="1" applyAlignment="1">
      <alignment horizontal="center" vertical="center" wrapText="1"/>
    </xf>
    <xf numFmtId="165" fontId="22" fillId="9" borderId="3" xfId="1" applyNumberFormat="1" applyFont="1" applyFill="1" applyBorder="1" applyAlignment="1">
      <alignment horizontal="center" vertical="center"/>
    </xf>
    <xf numFmtId="0" fontId="24" fillId="9" borderId="4" xfId="1" applyFont="1" applyFill="1" applyBorder="1" applyAlignment="1">
      <alignment horizontal="left" vertical="center"/>
    </xf>
    <xf numFmtId="165" fontId="14" fillId="12" borderId="11" xfId="1" applyNumberFormat="1" applyFont="1" applyFill="1" applyBorder="1" applyAlignment="1">
      <alignment horizontal="center" vertical="center"/>
    </xf>
    <xf numFmtId="165" fontId="5" fillId="12" borderId="12" xfId="1" applyNumberFormat="1" applyFont="1" applyFill="1" applyBorder="1" applyAlignment="1">
      <alignment horizontal="center" vertical="center"/>
    </xf>
    <xf numFmtId="166" fontId="5" fillId="12" borderId="14" xfId="1" applyNumberFormat="1" applyFont="1" applyFill="1" applyBorder="1" applyAlignment="1">
      <alignment horizontal="center" vertical="center"/>
    </xf>
    <xf numFmtId="0" fontId="5" fillId="12" borderId="14" xfId="1" applyFont="1" applyFill="1" applyBorder="1" applyAlignment="1">
      <alignment horizontal="center" vertical="center"/>
    </xf>
    <xf numFmtId="49" fontId="5" fillId="12" borderId="14" xfId="1" applyNumberFormat="1" applyFont="1" applyFill="1" applyBorder="1" applyAlignment="1">
      <alignment horizontal="center" vertical="center" wrapText="1"/>
    </xf>
    <xf numFmtId="0" fontId="5" fillId="12" borderId="15" xfId="1" applyFont="1" applyFill="1" applyBorder="1" applyAlignment="1">
      <alignment horizontal="center" vertical="center"/>
    </xf>
    <xf numFmtId="0" fontId="5" fillId="12" borderId="12" xfId="1" applyFont="1" applyFill="1" applyBorder="1" applyAlignment="1">
      <alignment horizontal="center" vertical="center"/>
    </xf>
    <xf numFmtId="2" fontId="5" fillId="12" borderId="14" xfId="1" applyNumberFormat="1" applyFont="1" applyFill="1" applyBorder="1" applyAlignment="1">
      <alignment horizontal="center" vertical="center"/>
    </xf>
    <xf numFmtId="169" fontId="5" fillId="12" borderId="14" xfId="1" applyNumberFormat="1" applyFont="1" applyFill="1" applyBorder="1" applyAlignment="1">
      <alignment horizontal="center" vertical="center"/>
    </xf>
    <xf numFmtId="167" fontId="5" fillId="12" borderId="14" xfId="1" applyNumberFormat="1" applyFont="1" applyFill="1" applyBorder="1" applyAlignment="1">
      <alignment horizontal="center" vertical="center"/>
    </xf>
    <xf numFmtId="168" fontId="5" fillId="12" borderId="15" xfId="1" applyNumberFormat="1" applyFont="1" applyFill="1" applyBorder="1" applyAlignment="1">
      <alignment horizontal="center" vertical="center"/>
    </xf>
    <xf numFmtId="1" fontId="5" fillId="12" borderId="16" xfId="1" applyNumberFormat="1" applyFont="1" applyFill="1" applyBorder="1" applyAlignment="1">
      <alignment horizontal="center" vertical="center"/>
    </xf>
    <xf numFmtId="1" fontId="5" fillId="12" borderId="14" xfId="1" applyNumberFormat="1" applyFont="1" applyFill="1" applyBorder="1" applyAlignment="1">
      <alignment horizontal="center" vertical="center"/>
    </xf>
    <xf numFmtId="1" fontId="5" fillId="12" borderId="15" xfId="1" applyNumberFormat="1" applyFont="1" applyFill="1" applyBorder="1" applyAlignment="1">
      <alignment horizontal="center" vertical="center"/>
    </xf>
    <xf numFmtId="165" fontId="5" fillId="12" borderId="14" xfId="1" applyNumberFormat="1" applyFont="1" applyFill="1" applyBorder="1" applyAlignment="1">
      <alignment horizontal="center" vertical="center"/>
    </xf>
    <xf numFmtId="164" fontId="5" fillId="12" borderId="14" xfId="1" applyNumberFormat="1" applyFont="1" applyFill="1" applyBorder="1" applyAlignment="1">
      <alignment horizontal="center" vertical="center"/>
    </xf>
    <xf numFmtId="164" fontId="5" fillId="12" borderId="13" xfId="1" applyNumberFormat="1" applyFont="1" applyFill="1" applyBorder="1" applyAlignment="1">
      <alignment horizontal="center" vertical="center"/>
    </xf>
    <xf numFmtId="2" fontId="5" fillId="12" borderId="16" xfId="1" applyNumberFormat="1" applyFont="1" applyFill="1" applyBorder="1" applyAlignment="1">
      <alignment horizontal="center" vertical="center"/>
    </xf>
    <xf numFmtId="49" fontId="5" fillId="12" borderId="14" xfId="1" applyNumberFormat="1" applyFont="1" applyFill="1" applyBorder="1" applyAlignment="1">
      <alignment horizontal="center" vertical="center"/>
    </xf>
    <xf numFmtId="2" fontId="5" fillId="12" borderId="15" xfId="1" applyNumberFormat="1" applyFont="1" applyFill="1" applyBorder="1" applyAlignment="1">
      <alignment horizontal="center" vertical="center"/>
    </xf>
    <xf numFmtId="2" fontId="5" fillId="12" borderId="12" xfId="1" applyNumberFormat="1" applyFont="1" applyFill="1" applyBorder="1" applyAlignment="1">
      <alignment horizontal="center" vertical="center"/>
    </xf>
    <xf numFmtId="2" fontId="5" fillId="12" borderId="13" xfId="1" applyNumberFormat="1" applyFont="1" applyFill="1" applyBorder="1" applyAlignment="1">
      <alignment horizontal="center" vertical="center"/>
    </xf>
    <xf numFmtId="169" fontId="5" fillId="12" borderId="12" xfId="1" applyNumberFormat="1" applyFont="1" applyFill="1" applyBorder="1" applyAlignment="1">
      <alignment horizontal="center" vertical="center"/>
    </xf>
    <xf numFmtId="1" fontId="5" fillId="12" borderId="12" xfId="1" applyNumberFormat="1" applyFont="1" applyFill="1" applyBorder="1" applyAlignment="1">
      <alignment horizontal="center" vertical="center"/>
    </xf>
    <xf numFmtId="2" fontId="5" fillId="12" borderId="11" xfId="1" applyNumberFormat="1" applyFont="1" applyFill="1" applyBorder="1" applyAlignment="1">
      <alignment horizontal="center" vertical="center"/>
    </xf>
    <xf numFmtId="166" fontId="25" fillId="2" borderId="20" xfId="1" applyNumberFormat="1" applyFont="1" applyFill="1" applyBorder="1" applyAlignment="1" applyProtection="1">
      <alignment horizontal="center" vertical="center"/>
      <protection locked="0"/>
    </xf>
    <xf numFmtId="166" fontId="25" fillId="4" borderId="20" xfId="1" applyNumberFormat="1" applyFont="1" applyFill="1" applyBorder="1" applyAlignment="1" applyProtection="1">
      <alignment horizontal="center" vertical="center"/>
      <protection locked="0"/>
    </xf>
    <xf numFmtId="166" fontId="26" fillId="2" borderId="20" xfId="1" applyNumberFormat="1" applyFont="1" applyFill="1" applyBorder="1" applyAlignment="1" applyProtection="1">
      <alignment horizontal="center" vertical="center"/>
      <protection locked="0"/>
    </xf>
    <xf numFmtId="166" fontId="25" fillId="0" borderId="20" xfId="1" applyNumberFormat="1" applyFont="1" applyBorder="1" applyAlignment="1" applyProtection="1">
      <alignment horizontal="center" vertical="center"/>
      <protection locked="0"/>
    </xf>
    <xf numFmtId="166" fontId="25" fillId="2" borderId="0" xfId="1" applyNumberFormat="1" applyFont="1" applyFill="1" applyAlignment="1">
      <alignment horizontal="center" vertical="center"/>
    </xf>
    <xf numFmtId="0" fontId="27" fillId="7" borderId="14" xfId="1" applyFont="1" applyFill="1" applyBorder="1" applyAlignment="1">
      <alignment horizontal="center" vertical="center" wrapText="1"/>
    </xf>
    <xf numFmtId="166" fontId="25" fillId="12" borderId="14" xfId="1" applyNumberFormat="1" applyFont="1" applyFill="1" applyBorder="1" applyAlignment="1">
      <alignment horizontal="center" vertical="center"/>
    </xf>
    <xf numFmtId="165" fontId="5" fillId="4" borderId="0" xfId="1" applyNumberFormat="1" applyFont="1" applyFill="1" applyAlignment="1">
      <alignment horizontal="center" vertical="center"/>
    </xf>
    <xf numFmtId="1" fontId="5" fillId="7" borderId="12" xfId="1" applyNumberFormat="1" applyFont="1" applyFill="1" applyBorder="1" applyAlignment="1">
      <alignment horizontal="center" vertical="center"/>
    </xf>
    <xf numFmtId="1" fontId="5" fillId="9" borderId="12" xfId="1" applyNumberFormat="1" applyFont="1" applyFill="1" applyBorder="1" applyAlignment="1">
      <alignment horizontal="center" vertical="center" wrapText="1"/>
    </xf>
    <xf numFmtId="164" fontId="5" fillId="4" borderId="19" xfId="1" applyNumberFormat="1" applyFont="1" applyFill="1" applyBorder="1" applyAlignment="1" applyProtection="1">
      <alignment horizontal="center" vertical="center"/>
      <protection locked="0"/>
    </xf>
    <xf numFmtId="164" fontId="5" fillId="2" borderId="19" xfId="1" applyNumberFormat="1" applyFont="1" applyFill="1" applyBorder="1" applyAlignment="1" applyProtection="1">
      <alignment horizontal="center" vertical="center"/>
      <protection locked="0"/>
    </xf>
    <xf numFmtId="164" fontId="5" fillId="0" borderId="19" xfId="1" applyNumberFormat="1" applyFont="1" applyBorder="1" applyAlignment="1" applyProtection="1">
      <alignment horizontal="center" vertical="center"/>
      <protection locked="0"/>
    </xf>
    <xf numFmtId="0" fontId="5" fillId="7" borderId="5" xfId="1" applyFont="1" applyFill="1" applyBorder="1" applyAlignment="1">
      <alignment horizontal="center" vertical="center" wrapText="1"/>
    </xf>
    <xf numFmtId="2" fontId="5" fillId="12" borderId="5" xfId="1" applyNumberFormat="1" applyFont="1" applyFill="1" applyBorder="1" applyAlignment="1">
      <alignment horizontal="center" vertical="center"/>
    </xf>
    <xf numFmtId="2" fontId="5" fillId="4" borderId="0" xfId="1" applyNumberFormat="1" applyFont="1" applyFill="1" applyAlignment="1">
      <alignment horizontal="center" vertical="center"/>
    </xf>
    <xf numFmtId="1" fontId="19" fillId="4" borderId="20" xfId="1" applyNumberFormat="1" applyFont="1" applyFill="1" applyBorder="1" applyAlignment="1" applyProtection="1">
      <alignment horizontal="center" vertical="center"/>
      <protection locked="0"/>
    </xf>
    <xf numFmtId="1" fontId="5" fillId="3" borderId="20" xfId="1" applyNumberFormat="1" applyFont="1" applyFill="1" applyBorder="1" applyAlignment="1" applyProtection="1">
      <alignment horizontal="center" vertical="center"/>
      <protection locked="0"/>
    </xf>
    <xf numFmtId="0" fontId="5" fillId="0" borderId="20" xfId="0" applyFont="1" applyBorder="1" applyAlignment="1" applyProtection="1">
      <alignment horizontal="center"/>
      <protection locked="0"/>
    </xf>
    <xf numFmtId="0" fontId="18" fillId="3" borderId="20" xfId="0" applyFont="1" applyFill="1" applyBorder="1" applyAlignment="1" applyProtection="1">
      <alignment horizontal="center"/>
      <protection locked="0"/>
    </xf>
    <xf numFmtId="2" fontId="5" fillId="0" borderId="22" xfId="0" applyNumberFormat="1" applyFont="1" applyBorder="1" applyAlignment="1" applyProtection="1">
      <alignment horizontal="center" vertical="center"/>
      <protection locked="0"/>
    </xf>
    <xf numFmtId="2" fontId="5" fillId="0" borderId="20" xfId="0" applyNumberFormat="1" applyFont="1" applyBorder="1" applyAlignment="1" applyProtection="1">
      <alignment horizontal="center" vertical="center"/>
      <protection locked="0"/>
    </xf>
    <xf numFmtId="2" fontId="5" fillId="0" borderId="18" xfId="0" applyNumberFormat="1" applyFont="1" applyBorder="1" applyAlignment="1" applyProtection="1">
      <alignment horizontal="center" vertical="center"/>
      <protection locked="0"/>
    </xf>
    <xf numFmtId="0" fontId="5" fillId="3" borderId="20" xfId="0" applyFont="1" applyFill="1" applyBorder="1" applyAlignment="1" applyProtection="1">
      <alignment horizontal="center"/>
      <protection locked="0"/>
    </xf>
    <xf numFmtId="0" fontId="19" fillId="3" borderId="20" xfId="0" applyFont="1" applyFill="1" applyBorder="1" applyAlignment="1" applyProtection="1">
      <alignment horizontal="center"/>
      <protection locked="0"/>
    </xf>
    <xf numFmtId="0" fontId="20" fillId="0" borderId="20" xfId="0" applyFont="1" applyBorder="1" applyAlignment="1" applyProtection="1">
      <alignment horizontal="center"/>
      <protection locked="0"/>
    </xf>
    <xf numFmtId="0" fontId="7" fillId="0" borderId="17" xfId="0" applyFont="1" applyBorder="1" applyAlignment="1" applyProtection="1">
      <alignment horizontal="center"/>
      <protection locked="0"/>
    </xf>
    <xf numFmtId="166" fontId="5" fillId="2" borderId="33"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66" fontId="25" fillId="2" borderId="33" xfId="1" applyNumberFormat="1" applyFont="1" applyFill="1" applyBorder="1" applyAlignment="1" applyProtection="1">
      <alignment horizontal="center" vertical="center"/>
      <protection locked="0"/>
    </xf>
    <xf numFmtId="49" fontId="5" fillId="2" borderId="33" xfId="1" applyNumberFormat="1" applyFont="1" applyFill="1" applyBorder="1" applyAlignment="1" applyProtection="1">
      <alignment horizontal="center" vertical="center" wrapText="1"/>
      <protection locked="0"/>
    </xf>
    <xf numFmtId="0" fontId="5" fillId="2" borderId="34"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169" fontId="5" fillId="2" borderId="33" xfId="1" applyNumberFormat="1" applyFont="1" applyFill="1" applyBorder="1" applyAlignment="1" applyProtection="1">
      <alignment horizontal="center" vertical="center"/>
      <protection locked="0"/>
    </xf>
    <xf numFmtId="1" fontId="5" fillId="2" borderId="35" xfId="1" applyNumberFormat="1" applyFont="1" applyFill="1" applyBorder="1" applyAlignment="1" applyProtection="1">
      <alignment horizontal="center" vertical="center"/>
      <protection locked="0"/>
    </xf>
    <xf numFmtId="1" fontId="5" fillId="2" borderId="33" xfId="1" applyNumberFormat="1" applyFont="1" applyFill="1" applyBorder="1" applyAlignment="1" applyProtection="1">
      <alignment horizontal="center" vertical="center"/>
      <protection locked="0"/>
    </xf>
    <xf numFmtId="165" fontId="5" fillId="2" borderId="31" xfId="1" applyNumberFormat="1" applyFont="1" applyFill="1" applyBorder="1" applyAlignment="1" applyProtection="1">
      <alignment horizontal="center" vertical="center"/>
      <protection locked="0"/>
    </xf>
    <xf numFmtId="165" fontId="5" fillId="2" borderId="33" xfId="1" applyNumberFormat="1" applyFont="1" applyFill="1" applyBorder="1" applyAlignment="1" applyProtection="1">
      <alignment horizontal="center" vertical="center"/>
      <protection locked="0"/>
    </xf>
    <xf numFmtId="164" fontId="5" fillId="2" borderId="33" xfId="1" applyNumberFormat="1" applyFont="1" applyFill="1" applyBorder="1" applyAlignment="1" applyProtection="1">
      <alignment horizontal="center" vertical="center"/>
      <protection locked="0"/>
    </xf>
    <xf numFmtId="164" fontId="5" fillId="2" borderId="32" xfId="1" applyNumberFormat="1" applyFont="1" applyFill="1" applyBorder="1" applyAlignment="1" applyProtection="1">
      <alignment horizontal="center" vertical="center"/>
      <protection locked="0"/>
    </xf>
    <xf numFmtId="2" fontId="5" fillId="2" borderId="35" xfId="1" applyNumberFormat="1" applyFont="1" applyFill="1" applyBorder="1" applyAlignment="1" applyProtection="1">
      <alignment horizontal="center" vertical="center"/>
      <protection locked="0"/>
    </xf>
    <xf numFmtId="2" fontId="5" fillId="2" borderId="33" xfId="1" applyNumberFormat="1" applyFont="1" applyFill="1" applyBorder="1" applyAlignment="1" applyProtection="1">
      <alignment horizontal="center" vertical="center"/>
      <protection locked="0"/>
    </xf>
    <xf numFmtId="49" fontId="5" fillId="2" borderId="33" xfId="1" applyNumberFormat="1" applyFont="1" applyFill="1" applyBorder="1" applyAlignment="1" applyProtection="1">
      <alignment horizontal="center" vertical="center"/>
      <protection locked="0"/>
    </xf>
    <xf numFmtId="2" fontId="5" fillId="2" borderId="31" xfId="1" applyNumberFormat="1" applyFont="1" applyFill="1" applyBorder="1" applyAlignment="1" applyProtection="1">
      <alignment horizontal="center" vertical="center"/>
      <protection locked="0"/>
    </xf>
    <xf numFmtId="2" fontId="5" fillId="2" borderId="32" xfId="1" applyNumberFormat="1" applyFont="1" applyFill="1" applyBorder="1" applyAlignment="1" applyProtection="1">
      <alignment horizontal="center" vertical="center"/>
      <protection locked="0"/>
    </xf>
    <xf numFmtId="165" fontId="14" fillId="10" borderId="17" xfId="1" applyNumberFormat="1" applyFont="1" applyFill="1" applyBorder="1" applyAlignment="1">
      <alignment horizontal="center" vertical="center"/>
    </xf>
    <xf numFmtId="165" fontId="5" fillId="10" borderId="18" xfId="1" applyNumberFormat="1" applyFont="1" applyFill="1" applyBorder="1" applyAlignment="1">
      <alignment horizontal="center" vertical="center"/>
    </xf>
    <xf numFmtId="165" fontId="5" fillId="11" borderId="18" xfId="1" applyNumberFormat="1" applyFont="1" applyFill="1" applyBorder="1" applyAlignment="1">
      <alignment horizontal="center" vertical="center"/>
    </xf>
    <xf numFmtId="165" fontId="5" fillId="10" borderId="31" xfId="1" applyNumberFormat="1" applyFont="1" applyFill="1" applyBorder="1" applyAlignment="1">
      <alignment horizontal="center" vertical="center"/>
    </xf>
    <xf numFmtId="2" fontId="5" fillId="10" borderId="20" xfId="1" applyNumberFormat="1" applyFont="1" applyFill="1" applyBorder="1" applyAlignment="1">
      <alignment horizontal="center" vertical="center"/>
    </xf>
    <xf numFmtId="2" fontId="5" fillId="11" borderId="20" xfId="1" applyNumberFormat="1" applyFont="1" applyFill="1" applyBorder="1" applyAlignment="1">
      <alignment horizontal="center" vertical="center"/>
    </xf>
    <xf numFmtId="167" fontId="5" fillId="10" borderId="20" xfId="1" applyNumberFormat="1" applyFont="1" applyFill="1" applyBorder="1" applyAlignment="1">
      <alignment horizontal="center" vertical="center"/>
    </xf>
    <xf numFmtId="168" fontId="5" fillId="10" borderId="21" xfId="1" applyNumberFormat="1" applyFont="1" applyFill="1" applyBorder="1" applyAlignment="1">
      <alignment horizontal="center" vertical="center"/>
    </xf>
    <xf numFmtId="167" fontId="5" fillId="11" borderId="20" xfId="1" applyNumberFormat="1" applyFont="1" applyFill="1" applyBorder="1" applyAlignment="1">
      <alignment horizontal="center" vertical="center"/>
    </xf>
    <xf numFmtId="168" fontId="5" fillId="11" borderId="21" xfId="1" applyNumberFormat="1" applyFont="1" applyFill="1" applyBorder="1" applyAlignment="1">
      <alignment horizontal="center" vertical="center"/>
    </xf>
    <xf numFmtId="1" fontId="5" fillId="13" borderId="18" xfId="1" applyNumberFormat="1" applyFont="1" applyFill="1" applyBorder="1" applyAlignment="1">
      <alignment horizontal="center" vertical="center"/>
    </xf>
    <xf numFmtId="1" fontId="5" fillId="13" borderId="26" xfId="1" applyNumberFormat="1" applyFont="1" applyFill="1" applyBorder="1" applyAlignment="1">
      <alignment horizontal="center" vertical="center"/>
    </xf>
    <xf numFmtId="1" fontId="5" fillId="11" borderId="18" xfId="1" applyNumberFormat="1" applyFont="1" applyFill="1" applyBorder="1" applyAlignment="1">
      <alignment horizontal="center" vertical="center"/>
    </xf>
    <xf numFmtId="1" fontId="5" fillId="13" borderId="20" xfId="1" applyNumberFormat="1" applyFont="1" applyFill="1" applyBorder="1" applyAlignment="1">
      <alignment horizontal="center" vertical="center"/>
    </xf>
    <xf numFmtId="1" fontId="5" fillId="10" borderId="20" xfId="1" applyNumberFormat="1" applyFont="1" applyFill="1" applyBorder="1" applyAlignment="1">
      <alignment horizontal="center" vertical="center"/>
    </xf>
    <xf numFmtId="1" fontId="5" fillId="10" borderId="21" xfId="1" applyNumberFormat="1" applyFont="1" applyFill="1" applyBorder="1" applyAlignment="1">
      <alignment horizontal="center" vertical="center"/>
    </xf>
    <xf numFmtId="1" fontId="5" fillId="13" borderId="23" xfId="1" applyNumberFormat="1" applyFont="1" applyFill="1" applyBorder="1" applyAlignment="1">
      <alignment horizontal="center" vertical="center"/>
    </xf>
    <xf numFmtId="1" fontId="5" fillId="10" borderId="18" xfId="1" applyNumberFormat="1" applyFont="1" applyFill="1" applyBorder="1" applyAlignment="1">
      <alignment horizontal="center" vertical="center"/>
    </xf>
    <xf numFmtId="0" fontId="19" fillId="11" borderId="20" xfId="0" applyFont="1" applyFill="1" applyBorder="1" applyAlignment="1">
      <alignment horizontal="center"/>
    </xf>
    <xf numFmtId="1" fontId="5" fillId="11" borderId="20" xfId="1" applyNumberFormat="1" applyFont="1" applyFill="1" applyBorder="1" applyAlignment="1">
      <alignment horizontal="center" vertical="center"/>
    </xf>
    <xf numFmtId="1" fontId="5" fillId="11" borderId="21" xfId="1" applyNumberFormat="1" applyFont="1" applyFill="1" applyBorder="1" applyAlignment="1">
      <alignment horizontal="center" vertical="center"/>
    </xf>
    <xf numFmtId="164" fontId="5" fillId="10" borderId="19" xfId="1" applyNumberFormat="1" applyFont="1" applyFill="1" applyBorder="1" applyAlignment="1">
      <alignment horizontal="center" vertical="center"/>
    </xf>
    <xf numFmtId="164" fontId="5" fillId="11" borderId="19" xfId="1" applyNumberFormat="1" applyFont="1" applyFill="1" applyBorder="1" applyAlignment="1">
      <alignment horizontal="center" vertical="center"/>
    </xf>
    <xf numFmtId="2" fontId="5" fillId="10" borderId="21" xfId="1" applyNumberFormat="1" applyFont="1" applyFill="1" applyBorder="1" applyAlignment="1">
      <alignment horizontal="center" vertical="center"/>
    </xf>
    <xf numFmtId="2" fontId="5" fillId="11" borderId="21" xfId="1" applyNumberFormat="1" applyFont="1" applyFill="1" applyBorder="1" applyAlignment="1">
      <alignment horizontal="center" vertical="center"/>
    </xf>
    <xf numFmtId="169" fontId="5" fillId="4" borderId="18" xfId="1" applyNumberFormat="1" applyFont="1" applyFill="1" applyBorder="1" applyAlignment="1">
      <alignment horizontal="center" vertical="center"/>
    </xf>
    <xf numFmtId="2" fontId="5" fillId="4" borderId="20" xfId="1" applyNumberFormat="1" applyFont="1" applyFill="1" applyBorder="1" applyAlignment="1">
      <alignment horizontal="center" vertical="center"/>
    </xf>
    <xf numFmtId="0" fontId="5" fillId="4" borderId="20" xfId="1" applyFont="1" applyFill="1" applyBorder="1" applyAlignment="1">
      <alignment horizontal="center" vertical="center"/>
    </xf>
    <xf numFmtId="2" fontId="5" fillId="10" borderId="19" xfId="1" applyNumberFormat="1" applyFont="1" applyFill="1" applyBorder="1" applyAlignment="1">
      <alignment horizontal="center" vertical="center"/>
    </xf>
    <xf numFmtId="2" fontId="5" fillId="4" borderId="22" xfId="1" applyNumberFormat="1" applyFont="1" applyFill="1" applyBorder="1" applyAlignment="1">
      <alignment horizontal="center" vertical="center"/>
    </xf>
    <xf numFmtId="169" fontId="5" fillId="2" borderId="18" xfId="1" applyNumberFormat="1" applyFont="1" applyFill="1" applyBorder="1" applyAlignment="1">
      <alignment horizontal="center" vertical="center"/>
    </xf>
    <xf numFmtId="2" fontId="5" fillId="2" borderId="20" xfId="1" applyNumberFormat="1" applyFont="1" applyFill="1" applyBorder="1" applyAlignment="1">
      <alignment horizontal="center" vertical="center"/>
    </xf>
    <xf numFmtId="0" fontId="5" fillId="2" borderId="20" xfId="1" applyFont="1" applyFill="1" applyBorder="1" applyAlignment="1">
      <alignment horizontal="center" vertical="center"/>
    </xf>
    <xf numFmtId="2" fontId="5" fillId="2" borderId="22" xfId="1" applyNumberFormat="1" applyFont="1" applyFill="1" applyBorder="1" applyAlignment="1">
      <alignment horizontal="center" vertical="center"/>
    </xf>
    <xf numFmtId="49" fontId="5" fillId="2" borderId="20" xfId="1" applyNumberFormat="1" applyFont="1" applyFill="1" applyBorder="1" applyAlignment="1">
      <alignment horizontal="center" vertical="center"/>
    </xf>
    <xf numFmtId="169" fontId="5" fillId="6" borderId="18" xfId="1" applyNumberFormat="1" applyFont="1" applyFill="1" applyBorder="1" applyAlignment="1">
      <alignment horizontal="center" vertical="center"/>
    </xf>
    <xf numFmtId="2" fontId="5" fillId="6" borderId="20" xfId="1" applyNumberFormat="1" applyFont="1" applyFill="1" applyBorder="1" applyAlignment="1">
      <alignment horizontal="center" vertical="center"/>
    </xf>
    <xf numFmtId="0" fontId="5" fillId="6" borderId="20" xfId="1" applyFont="1" applyFill="1" applyBorder="1" applyAlignment="1">
      <alignment horizontal="center" vertical="center"/>
    </xf>
    <xf numFmtId="2" fontId="5" fillId="11" borderId="19" xfId="1" applyNumberFormat="1" applyFont="1" applyFill="1" applyBorder="1" applyAlignment="1">
      <alignment horizontal="center" vertical="center"/>
    </xf>
    <xf numFmtId="49" fontId="5" fillId="0" borderId="20" xfId="1" applyNumberFormat="1" applyFont="1" applyBorder="1" applyAlignment="1">
      <alignment horizontal="center" vertical="center"/>
    </xf>
    <xf numFmtId="2" fontId="5" fillId="0" borderId="20" xfId="1" applyNumberFormat="1" applyFont="1" applyBorder="1" applyAlignment="1">
      <alignment horizontal="center" vertical="center"/>
    </xf>
    <xf numFmtId="1" fontId="5" fillId="10" borderId="19" xfId="1" applyNumberFormat="1" applyFont="1" applyFill="1" applyBorder="1" applyAlignment="1">
      <alignment horizontal="center" vertical="center"/>
    </xf>
    <xf numFmtId="2" fontId="5" fillId="10" borderId="18" xfId="1" applyNumberFormat="1" applyFont="1" applyFill="1" applyBorder="1" applyAlignment="1">
      <alignment horizontal="center" vertical="center"/>
    </xf>
    <xf numFmtId="1" fontId="5" fillId="10" borderId="22" xfId="1" applyNumberFormat="1" applyFont="1" applyFill="1" applyBorder="1" applyAlignment="1">
      <alignment horizontal="center" vertical="center"/>
    </xf>
    <xf numFmtId="2" fontId="5" fillId="10" borderId="17" xfId="1" applyNumberFormat="1" applyFont="1" applyFill="1" applyBorder="1" applyAlignment="1">
      <alignment horizontal="center" vertical="center"/>
    </xf>
    <xf numFmtId="1" fontId="5" fillId="11" borderId="19" xfId="1" applyNumberFormat="1" applyFont="1" applyFill="1" applyBorder="1" applyAlignment="1">
      <alignment horizontal="center" vertical="center"/>
    </xf>
    <xf numFmtId="2" fontId="5" fillId="11" borderId="18" xfId="1" applyNumberFormat="1" applyFont="1" applyFill="1" applyBorder="1" applyAlignment="1">
      <alignment horizontal="center" vertical="center"/>
    </xf>
    <xf numFmtId="1" fontId="5" fillId="11" borderId="22" xfId="1" applyNumberFormat="1" applyFont="1" applyFill="1" applyBorder="1" applyAlignment="1">
      <alignment horizontal="center" vertical="center"/>
    </xf>
    <xf numFmtId="2" fontId="5" fillId="11" borderId="17" xfId="1" applyNumberFormat="1" applyFont="1" applyFill="1" applyBorder="1" applyAlignment="1">
      <alignment horizontal="center" vertical="center"/>
    </xf>
    <xf numFmtId="2" fontId="5" fillId="10" borderId="33" xfId="1" applyNumberFormat="1" applyFont="1" applyFill="1" applyBorder="1" applyAlignment="1">
      <alignment horizontal="center" vertical="center"/>
    </xf>
    <xf numFmtId="1" fontId="5" fillId="10" borderId="32" xfId="1" applyNumberFormat="1" applyFont="1" applyFill="1" applyBorder="1" applyAlignment="1">
      <alignment horizontal="center" vertical="center"/>
    </xf>
    <xf numFmtId="2" fontId="5" fillId="10" borderId="34" xfId="1" applyNumberFormat="1" applyFont="1" applyFill="1" applyBorder="1" applyAlignment="1">
      <alignment horizontal="center" vertical="center"/>
    </xf>
    <xf numFmtId="2" fontId="5" fillId="10" borderId="31" xfId="1" applyNumberFormat="1" applyFont="1" applyFill="1" applyBorder="1" applyAlignment="1">
      <alignment horizontal="center" vertical="center"/>
    </xf>
    <xf numFmtId="1" fontId="5" fillId="10" borderId="35" xfId="1" applyNumberFormat="1" applyFont="1" applyFill="1" applyBorder="1" applyAlignment="1">
      <alignment horizontal="center" vertical="center"/>
    </xf>
    <xf numFmtId="1" fontId="5" fillId="10" borderId="33" xfId="1" applyNumberFormat="1" applyFont="1" applyFill="1" applyBorder="1" applyAlignment="1">
      <alignment horizontal="center" vertical="center"/>
    </xf>
    <xf numFmtId="1" fontId="5" fillId="10" borderId="34" xfId="1" applyNumberFormat="1" applyFont="1" applyFill="1" applyBorder="1" applyAlignment="1">
      <alignment horizontal="center" vertical="center"/>
    </xf>
    <xf numFmtId="2" fontId="5" fillId="10" borderId="32" xfId="1" applyNumberFormat="1" applyFont="1" applyFill="1" applyBorder="1" applyAlignment="1">
      <alignment horizontal="center" vertical="center"/>
    </xf>
    <xf numFmtId="2" fontId="5" fillId="10" borderId="30" xfId="1" applyNumberFormat="1" applyFont="1" applyFill="1" applyBorder="1" applyAlignment="1">
      <alignment horizontal="center" vertical="center"/>
    </xf>
    <xf numFmtId="167" fontId="5" fillId="10" borderId="33" xfId="1" applyNumberFormat="1" applyFont="1" applyFill="1" applyBorder="1" applyAlignment="1">
      <alignment horizontal="center" vertical="center"/>
    </xf>
    <xf numFmtId="168" fontId="5" fillId="10" borderId="34" xfId="1" applyNumberFormat="1" applyFont="1" applyFill="1" applyBorder="1" applyAlignment="1">
      <alignment horizontal="center" vertical="center"/>
    </xf>
    <xf numFmtId="1" fontId="5" fillId="13" borderId="31" xfId="1" applyNumberFormat="1" applyFont="1" applyFill="1" applyBorder="1" applyAlignment="1">
      <alignment horizontal="center" vertical="center"/>
    </xf>
    <xf numFmtId="1" fontId="5" fillId="13" borderId="33" xfId="1" applyNumberFormat="1" applyFont="1" applyFill="1" applyBorder="1" applyAlignment="1">
      <alignment horizontal="center" vertical="center"/>
    </xf>
    <xf numFmtId="164" fontId="5" fillId="10" borderId="32" xfId="1" applyNumberFormat="1" applyFont="1" applyFill="1" applyBorder="1" applyAlignment="1">
      <alignment horizontal="center" vertical="center"/>
    </xf>
    <xf numFmtId="169" fontId="5" fillId="13" borderId="31" xfId="1" applyNumberFormat="1" applyFont="1" applyFill="1" applyBorder="1" applyAlignment="1">
      <alignment horizontal="center" vertical="center"/>
    </xf>
    <xf numFmtId="2" fontId="5" fillId="13" borderId="33" xfId="1" applyNumberFormat="1" applyFont="1" applyFill="1" applyBorder="1" applyAlignment="1">
      <alignment horizontal="center" vertical="center"/>
    </xf>
    <xf numFmtId="0" fontId="5" fillId="13" borderId="33" xfId="1" applyFont="1" applyFill="1" applyBorder="1" applyAlignment="1">
      <alignment horizontal="center" vertical="center"/>
    </xf>
    <xf numFmtId="2" fontId="5" fillId="13" borderId="35" xfId="1" applyNumberFormat="1" applyFont="1" applyFill="1" applyBorder="1" applyAlignment="1">
      <alignment horizontal="center" vertical="center"/>
    </xf>
    <xf numFmtId="169" fontId="5" fillId="13" borderId="18" xfId="1" applyNumberFormat="1" applyFont="1" applyFill="1" applyBorder="1" applyAlignment="1">
      <alignment horizontal="center" vertical="center"/>
    </xf>
    <xf numFmtId="2" fontId="5" fillId="13" borderId="20" xfId="1" applyNumberFormat="1" applyFont="1" applyFill="1" applyBorder="1" applyAlignment="1">
      <alignment horizontal="center" vertical="center"/>
    </xf>
    <xf numFmtId="0" fontId="5" fillId="13" borderId="20" xfId="1" applyFont="1" applyFill="1" applyBorder="1" applyAlignment="1">
      <alignment horizontal="center" vertical="center"/>
    </xf>
    <xf numFmtId="2" fontId="5" fillId="13" borderId="22" xfId="1" applyNumberFormat="1" applyFont="1" applyFill="1" applyBorder="1" applyAlignment="1">
      <alignment horizontal="center" vertical="center"/>
    </xf>
    <xf numFmtId="0" fontId="2" fillId="4" borderId="0" xfId="1" applyFill="1"/>
    <xf numFmtId="0" fontId="0" fillId="3" borderId="0" xfId="0" applyFill="1"/>
    <xf numFmtId="0" fontId="2" fillId="4" borderId="43" xfId="1" applyFill="1" applyBorder="1" applyAlignment="1">
      <alignment horizontal="center"/>
    </xf>
    <xf numFmtId="0" fontId="2" fillId="4" borderId="44" xfId="1" applyFill="1" applyBorder="1" applyAlignment="1">
      <alignment horizontal="center"/>
    </xf>
    <xf numFmtId="1" fontId="2" fillId="4" borderId="45" xfId="1" applyNumberFormat="1" applyFill="1" applyBorder="1" applyAlignment="1">
      <alignment horizontal="center"/>
    </xf>
    <xf numFmtId="0" fontId="2" fillId="4" borderId="35" xfId="1" applyFill="1" applyBorder="1" applyAlignment="1">
      <alignment horizontal="center"/>
    </xf>
    <xf numFmtId="165" fontId="2" fillId="4" borderId="34" xfId="1" applyNumberFormat="1" applyFill="1" applyBorder="1" applyAlignment="1">
      <alignment horizontal="center"/>
    </xf>
    <xf numFmtId="0" fontId="2" fillId="4" borderId="0" xfId="1" applyFill="1" applyAlignment="1">
      <alignment horizontal="center"/>
    </xf>
    <xf numFmtId="164" fontId="2" fillId="4" borderId="34" xfId="1" applyNumberFormat="1" applyFill="1" applyBorder="1" applyAlignment="1">
      <alignment horizontal="center"/>
    </xf>
    <xf numFmtId="0" fontId="2" fillId="4" borderId="16" xfId="1" applyFill="1" applyBorder="1" applyAlignment="1">
      <alignment horizontal="center"/>
    </xf>
    <xf numFmtId="2" fontId="2" fillId="4" borderId="15" xfId="1" applyNumberFormat="1" applyFill="1" applyBorder="1" applyAlignment="1">
      <alignment horizontal="center"/>
    </xf>
    <xf numFmtId="171" fontId="2" fillId="4" borderId="34" xfId="1" applyNumberFormat="1" applyFill="1" applyBorder="1" applyAlignment="1">
      <alignment horizontal="center"/>
    </xf>
    <xf numFmtId="0" fontId="2" fillId="4" borderId="36" xfId="1" applyFill="1" applyBorder="1" applyAlignment="1">
      <alignment horizontal="center"/>
    </xf>
    <xf numFmtId="0" fontId="2" fillId="4" borderId="18" xfId="1" applyFill="1" applyBorder="1" applyAlignment="1">
      <alignment horizontal="center"/>
    </xf>
    <xf numFmtId="170" fontId="2" fillId="4" borderId="21" xfId="1" applyNumberFormat="1" applyFill="1" applyBorder="1" applyAlignment="1">
      <alignment horizontal="center"/>
    </xf>
    <xf numFmtId="170" fontId="2" fillId="4" borderId="15" xfId="1" applyNumberFormat="1" applyFill="1" applyBorder="1" applyAlignment="1">
      <alignment horizontal="center"/>
    </xf>
    <xf numFmtId="0" fontId="2" fillId="4" borderId="46" xfId="1" applyFill="1" applyBorder="1" applyAlignment="1">
      <alignment horizontal="center"/>
    </xf>
    <xf numFmtId="0" fontId="2" fillId="4" borderId="47" xfId="1" applyFill="1" applyBorder="1" applyAlignment="1">
      <alignment horizontal="center"/>
    </xf>
    <xf numFmtId="1" fontId="2" fillId="4" borderId="48" xfId="1" applyNumberFormat="1" applyFill="1" applyBorder="1" applyAlignment="1">
      <alignment horizontal="center"/>
    </xf>
    <xf numFmtId="0" fontId="2" fillId="4" borderId="22" xfId="1" applyFill="1" applyBorder="1" applyAlignment="1">
      <alignment horizontal="center"/>
    </xf>
    <xf numFmtId="165" fontId="2" fillId="4" borderId="21" xfId="1" applyNumberFormat="1" applyFill="1" applyBorder="1" applyAlignment="1">
      <alignment horizontal="center"/>
    </xf>
    <xf numFmtId="164" fontId="2" fillId="4" borderId="21" xfId="1" applyNumberFormat="1" applyFill="1" applyBorder="1" applyAlignment="1">
      <alignment horizontal="center"/>
    </xf>
    <xf numFmtId="0" fontId="2" fillId="4" borderId="37" xfId="1" applyFill="1" applyBorder="1" applyAlignment="1">
      <alignment horizontal="center"/>
    </xf>
    <xf numFmtId="165" fontId="2" fillId="4" borderId="38" xfId="1" applyNumberFormat="1" applyFill="1" applyBorder="1" applyAlignment="1">
      <alignment horizontal="center"/>
    </xf>
    <xf numFmtId="170" fontId="2" fillId="13" borderId="21" xfId="1" applyNumberFormat="1" applyFill="1" applyBorder="1" applyAlignment="1">
      <alignment horizontal="center"/>
    </xf>
    <xf numFmtId="1" fontId="2" fillId="4" borderId="21" xfId="1" applyNumberFormat="1" applyFill="1" applyBorder="1" applyAlignment="1">
      <alignment horizontal="center"/>
    </xf>
    <xf numFmtId="0" fontId="2" fillId="4" borderId="39" xfId="1" applyFill="1" applyBorder="1" applyAlignment="1">
      <alignment horizontal="center"/>
    </xf>
    <xf numFmtId="165" fontId="2" fillId="4" borderId="40" xfId="1" applyNumberFormat="1" applyFill="1" applyBorder="1" applyAlignment="1">
      <alignment horizontal="center"/>
    </xf>
    <xf numFmtId="0" fontId="2" fillId="4" borderId="2" xfId="1" applyFill="1" applyBorder="1" applyAlignment="1">
      <alignment horizontal="center"/>
    </xf>
    <xf numFmtId="164" fontId="2" fillId="4" borderId="38" xfId="1" applyNumberFormat="1" applyFill="1" applyBorder="1" applyAlignment="1">
      <alignment horizontal="center"/>
    </xf>
    <xf numFmtId="0" fontId="2" fillId="4" borderId="41" xfId="1" applyFill="1" applyBorder="1" applyAlignment="1">
      <alignment horizontal="center"/>
    </xf>
    <xf numFmtId="0" fontId="2" fillId="4" borderId="42" xfId="1" applyFill="1" applyBorder="1" applyAlignment="1">
      <alignment horizontal="center"/>
    </xf>
    <xf numFmtId="1" fontId="2" fillId="4" borderId="38" xfId="1" applyNumberFormat="1" applyFill="1" applyBorder="1" applyAlignment="1">
      <alignment horizontal="center"/>
    </xf>
    <xf numFmtId="170" fontId="2" fillId="4" borderId="38" xfId="1" applyNumberFormat="1" applyFill="1" applyBorder="1" applyAlignment="1">
      <alignment horizontal="center"/>
    </xf>
    <xf numFmtId="0" fontId="0" fillId="3" borderId="0" xfId="0" applyFill="1" applyAlignment="1">
      <alignment horizontal="right"/>
    </xf>
    <xf numFmtId="0" fontId="28" fillId="3" borderId="0" xfId="0" applyFont="1" applyFill="1" applyAlignment="1">
      <alignment horizontal="center"/>
    </xf>
    <xf numFmtId="0" fontId="0" fillId="3" borderId="0" xfId="0" applyFill="1" applyAlignment="1">
      <alignment horizontal="center"/>
    </xf>
    <xf numFmtId="0" fontId="0" fillId="3" borderId="0" xfId="0" quotePrefix="1" applyFill="1" applyAlignment="1">
      <alignment horizontal="center"/>
    </xf>
    <xf numFmtId="1" fontId="5" fillId="11" borderId="23" xfId="1" applyNumberFormat="1" applyFont="1" applyFill="1" applyBorder="1" applyAlignment="1">
      <alignment horizontal="center" vertical="center"/>
    </xf>
    <xf numFmtId="2" fontId="5" fillId="2" borderId="55" xfId="1" applyNumberFormat="1" applyFont="1" applyFill="1" applyBorder="1" applyAlignment="1" applyProtection="1">
      <alignment horizontal="center" vertical="center"/>
      <protection locked="0"/>
    </xf>
    <xf numFmtId="1" fontId="5" fillId="4" borderId="27" xfId="1" applyNumberFormat="1" applyFont="1" applyFill="1" applyBorder="1" applyAlignment="1" applyProtection="1">
      <alignment horizontal="center" vertical="center"/>
      <protection locked="0"/>
    </xf>
    <xf numFmtId="0" fontId="13" fillId="14" borderId="11" xfId="1" applyFont="1" applyFill="1" applyBorder="1" applyAlignment="1">
      <alignment horizontal="center" vertical="center" wrapText="1"/>
    </xf>
    <xf numFmtId="0" fontId="13" fillId="12" borderId="17" xfId="1" applyFont="1" applyFill="1" applyBorder="1" applyAlignment="1" applyProtection="1">
      <alignment horizontal="center" vertical="center"/>
      <protection locked="0"/>
    </xf>
    <xf numFmtId="0" fontId="14" fillId="12" borderId="30" xfId="1" applyFont="1" applyFill="1" applyBorder="1" applyAlignment="1" applyProtection="1">
      <alignment horizontal="center" vertical="center"/>
      <protection locked="0"/>
    </xf>
    <xf numFmtId="0" fontId="5" fillId="12" borderId="31" xfId="1" applyFont="1" applyFill="1" applyBorder="1" applyAlignment="1" applyProtection="1">
      <alignment horizontal="center" vertical="center" wrapText="1"/>
      <protection locked="0"/>
    </xf>
    <xf numFmtId="0" fontId="5" fillId="12" borderId="32" xfId="1" applyFont="1" applyFill="1" applyBorder="1" applyAlignment="1" applyProtection="1">
      <alignment horizontal="center" vertical="center"/>
      <protection locked="0"/>
    </xf>
    <xf numFmtId="0" fontId="14" fillId="12" borderId="17" xfId="1" applyFont="1" applyFill="1" applyBorder="1" applyAlignment="1" applyProtection="1">
      <alignment horizontal="center" vertical="center"/>
      <protection locked="0"/>
    </xf>
    <xf numFmtId="0" fontId="5" fillId="12" borderId="18" xfId="1" applyFont="1" applyFill="1" applyBorder="1" applyAlignment="1" applyProtection="1">
      <alignment horizontal="center" vertical="center" wrapText="1"/>
      <protection locked="0"/>
    </xf>
    <xf numFmtId="0" fontId="5" fillId="12" borderId="19" xfId="1" applyFont="1" applyFill="1" applyBorder="1" applyAlignment="1" applyProtection="1">
      <alignment horizontal="center" vertical="center"/>
      <protection locked="0"/>
    </xf>
    <xf numFmtId="49" fontId="5" fillId="12" borderId="18" xfId="1" applyNumberFormat="1" applyFont="1" applyFill="1" applyBorder="1" applyAlignment="1" applyProtection="1">
      <alignment horizontal="center" vertical="center"/>
      <protection locked="0"/>
    </xf>
    <xf numFmtId="0" fontId="14" fillId="2" borderId="17" xfId="1" applyFont="1" applyFill="1" applyBorder="1" applyAlignment="1" applyProtection="1">
      <alignment horizontal="center" vertical="center" wrapText="1"/>
      <protection locked="0"/>
    </xf>
    <xf numFmtId="2" fontId="31" fillId="3" borderId="18" xfId="0" applyNumberFormat="1" applyFont="1" applyFill="1" applyBorder="1" applyAlignment="1" applyProtection="1">
      <alignment horizontal="center" vertical="center"/>
      <protection locked="0"/>
    </xf>
    <xf numFmtId="2" fontId="31" fillId="3" borderId="20" xfId="0" applyNumberFormat="1" applyFont="1" applyFill="1" applyBorder="1" applyAlignment="1" applyProtection="1">
      <alignment horizontal="center" vertical="center"/>
      <protection locked="0"/>
    </xf>
    <xf numFmtId="1" fontId="5" fillId="0" borderId="24" xfId="1" applyNumberFormat="1" applyFont="1" applyBorder="1" applyAlignment="1" applyProtection="1">
      <alignment horizontal="center" vertical="center"/>
      <protection locked="0"/>
    </xf>
    <xf numFmtId="0" fontId="13" fillId="0" borderId="17" xfId="1" applyFont="1" applyBorder="1" applyAlignment="1" applyProtection="1">
      <alignment horizontal="center" vertical="center"/>
      <protection locked="0"/>
    </xf>
    <xf numFmtId="1" fontId="5" fillId="3" borderId="24" xfId="1" applyNumberFormat="1" applyFont="1" applyFill="1" applyBorder="1" applyAlignment="1" applyProtection="1">
      <alignment horizontal="center" vertical="center"/>
      <protection locked="0"/>
    </xf>
    <xf numFmtId="0" fontId="5" fillId="0" borderId="24" xfId="0" applyFont="1" applyBorder="1" applyAlignment="1" applyProtection="1">
      <alignment horizontal="center"/>
      <protection locked="0"/>
    </xf>
    <xf numFmtId="49" fontId="20" fillId="2" borderId="20" xfId="1" applyNumberFormat="1" applyFont="1" applyFill="1" applyBorder="1" applyAlignment="1" applyProtection="1">
      <alignment horizontal="center" vertical="center" wrapText="1"/>
      <protection locked="0"/>
    </xf>
    <xf numFmtId="0" fontId="20" fillId="2" borderId="21" xfId="1" applyFont="1" applyFill="1" applyBorder="1" applyAlignment="1" applyProtection="1">
      <alignment horizontal="center" vertical="center"/>
      <protection locked="0"/>
    </xf>
    <xf numFmtId="0" fontId="20" fillId="2" borderId="18" xfId="1" applyFont="1" applyFill="1" applyBorder="1" applyAlignment="1" applyProtection="1">
      <alignment horizontal="center" vertical="center"/>
      <protection locked="0"/>
    </xf>
    <xf numFmtId="2" fontId="32" fillId="2" borderId="22" xfId="1" applyNumberFormat="1" applyFont="1" applyFill="1" applyBorder="1" applyAlignment="1" applyProtection="1">
      <alignment horizontal="center" vertical="center"/>
      <protection locked="0"/>
    </xf>
    <xf numFmtId="2" fontId="32" fillId="2" borderId="20" xfId="1" applyNumberFormat="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1" fontId="19" fillId="13" borderId="20" xfId="1" applyNumberFormat="1" applyFont="1" applyFill="1" applyBorder="1" applyAlignment="1">
      <alignment horizontal="center" vertical="center"/>
    </xf>
    <xf numFmtId="0" fontId="5" fillId="11" borderId="20" xfId="0" applyFont="1" applyFill="1" applyBorder="1" applyAlignment="1">
      <alignment horizontal="center"/>
    </xf>
    <xf numFmtId="0" fontId="5" fillId="2" borderId="29" xfId="1" applyFont="1" applyFill="1" applyBorder="1" applyAlignment="1" applyProtection="1">
      <alignment vertical="center"/>
      <protection locked="0"/>
    </xf>
    <xf numFmtId="0" fontId="18" fillId="3" borderId="24" xfId="0" applyFont="1" applyFill="1" applyBorder="1" applyAlignment="1" applyProtection="1">
      <alignment horizontal="center"/>
      <protection locked="0"/>
    </xf>
    <xf numFmtId="0" fontId="5" fillId="2" borderId="26" xfId="1" applyFont="1" applyFill="1" applyBorder="1" applyAlignment="1" applyProtection="1">
      <alignment horizontal="center" vertical="center" wrapText="1"/>
      <protection locked="0"/>
    </xf>
    <xf numFmtId="0" fontId="30" fillId="0" borderId="19" xfId="0" applyFont="1" applyBorder="1" applyAlignment="1">
      <alignment horizontal="center"/>
    </xf>
    <xf numFmtId="1" fontId="5" fillId="4" borderId="19" xfId="1" applyNumberFormat="1" applyFont="1" applyFill="1" applyBorder="1" applyAlignment="1" applyProtection="1">
      <alignment horizontal="center" vertical="center"/>
      <protection locked="0"/>
    </xf>
    <xf numFmtId="1" fontId="5" fillId="0" borderId="23" xfId="1" applyNumberFormat="1" applyFont="1" applyBorder="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5" fillId="0" borderId="0" xfId="1" applyFont="1" applyAlignment="1" applyProtection="1">
      <alignment horizontal="center" vertical="center"/>
      <protection locked="0"/>
    </xf>
    <xf numFmtId="2" fontId="16" fillId="9" borderId="4" xfId="1" applyNumberFormat="1" applyFont="1" applyFill="1" applyBorder="1" applyAlignment="1">
      <alignment horizontal="center" vertical="center"/>
    </xf>
    <xf numFmtId="2" fontId="16" fillId="9" borderId="5" xfId="1" applyNumberFormat="1" applyFont="1" applyFill="1" applyBorder="1" applyAlignment="1">
      <alignment horizontal="center" vertical="center"/>
    </xf>
    <xf numFmtId="2" fontId="16" fillId="9" borderId="6" xfId="1" applyNumberFormat="1" applyFont="1" applyFill="1" applyBorder="1" applyAlignment="1">
      <alignment horizontal="center" vertical="center"/>
    </xf>
    <xf numFmtId="2" fontId="16" fillId="9" borderId="0" xfId="1" applyNumberFormat="1" applyFont="1" applyFill="1" applyAlignment="1">
      <alignment horizontal="center" vertical="center"/>
    </xf>
    <xf numFmtId="0" fontId="16" fillId="9" borderId="10" xfId="1" applyFont="1" applyFill="1" applyBorder="1" applyAlignment="1">
      <alignment horizontal="center" vertical="center" wrapText="1"/>
    </xf>
    <xf numFmtId="0" fontId="16" fillId="9" borderId="0" xfId="1" applyFont="1" applyFill="1" applyAlignment="1">
      <alignment horizontal="center" vertical="center" wrapText="1"/>
    </xf>
    <xf numFmtId="0" fontId="13" fillId="12" borderId="4" xfId="1" applyFont="1" applyFill="1" applyBorder="1" applyAlignment="1">
      <alignment horizontal="center" vertical="center"/>
    </xf>
    <xf numFmtId="0" fontId="13" fillId="12" borderId="5" xfId="1" applyFont="1" applyFill="1" applyBorder="1" applyAlignment="1">
      <alignment horizontal="center" vertical="center"/>
    </xf>
    <xf numFmtId="0" fontId="13" fillId="12" borderId="6" xfId="1" applyFont="1" applyFill="1" applyBorder="1" applyAlignment="1">
      <alignment horizontal="center" vertical="center"/>
    </xf>
    <xf numFmtId="2" fontId="16" fillId="9" borderId="10" xfId="1" applyNumberFormat="1" applyFont="1" applyFill="1" applyBorder="1" applyAlignment="1">
      <alignment horizontal="center" vertical="center"/>
    </xf>
    <xf numFmtId="2" fontId="16" fillId="9" borderId="0" xfId="1" applyNumberFormat="1" applyFont="1" applyFill="1" applyAlignment="1">
      <alignment horizontal="center" vertical="center" wrapText="1"/>
    </xf>
    <xf numFmtId="2" fontId="16" fillId="9" borderId="10" xfId="1" applyNumberFormat="1" applyFont="1" applyFill="1" applyBorder="1" applyAlignment="1">
      <alignment horizontal="center" vertical="center" wrapText="1"/>
    </xf>
    <xf numFmtId="0" fontId="23" fillId="9" borderId="1" xfId="1" applyFont="1" applyFill="1" applyBorder="1" applyAlignment="1">
      <alignment horizontal="center" vertical="center" wrapText="1"/>
    </xf>
    <xf numFmtId="0" fontId="23" fillId="9" borderId="2" xfId="1" applyFont="1" applyFill="1" applyBorder="1" applyAlignment="1">
      <alignment horizontal="center" vertical="center" wrapText="1"/>
    </xf>
    <xf numFmtId="0" fontId="23" fillId="9" borderId="7" xfId="1" applyFont="1" applyFill="1" applyBorder="1" applyAlignment="1">
      <alignment horizontal="center" vertical="center" wrapText="1"/>
    </xf>
    <xf numFmtId="0" fontId="23" fillId="9" borderId="8" xfId="1" applyFont="1" applyFill="1" applyBorder="1" applyAlignment="1">
      <alignment horizontal="center" vertical="center" wrapText="1"/>
    </xf>
    <xf numFmtId="0" fontId="16" fillId="9" borderId="0" xfId="1" applyFont="1" applyFill="1" applyAlignment="1">
      <alignment horizontal="center" vertical="center" wrapText="1" readingOrder="1"/>
    </xf>
    <xf numFmtId="0" fontId="16" fillId="9" borderId="10" xfId="1" applyFont="1" applyFill="1" applyBorder="1" applyAlignment="1">
      <alignment horizontal="center" vertical="center"/>
    </xf>
    <xf numFmtId="165" fontId="16" fillId="9" borderId="0" xfId="1" applyNumberFormat="1" applyFont="1" applyFill="1" applyAlignment="1">
      <alignment horizontal="center" vertical="center" wrapText="1"/>
    </xf>
    <xf numFmtId="2" fontId="17" fillId="9" borderId="0" xfId="1" applyNumberFormat="1" applyFont="1" applyFill="1" applyAlignment="1">
      <alignment horizontal="center" vertical="center" wrapText="1"/>
    </xf>
    <xf numFmtId="0" fontId="11" fillId="8" borderId="11" xfId="1" applyFont="1" applyFill="1" applyBorder="1" applyAlignment="1">
      <alignment horizontal="center"/>
    </xf>
    <xf numFmtId="0" fontId="2" fillId="4" borderId="2" xfId="1" applyFill="1" applyBorder="1" applyAlignment="1">
      <alignment horizontal="center" vertical="top" wrapText="1"/>
    </xf>
    <xf numFmtId="0" fontId="2" fillId="4" borderId="0" xfId="1" applyFill="1" applyAlignment="1">
      <alignment horizontal="center" vertical="top" wrapText="1"/>
    </xf>
    <xf numFmtId="0" fontId="11" fillId="8" borderId="10" xfId="1" applyFont="1" applyFill="1" applyBorder="1" applyAlignment="1">
      <alignment horizontal="center"/>
    </xf>
    <xf numFmtId="0" fontId="2" fillId="4" borderId="50" xfId="1" applyFill="1" applyBorder="1" applyAlignment="1">
      <alignment horizontal="center" vertical="center" wrapText="1"/>
    </xf>
    <xf numFmtId="0" fontId="2" fillId="4" borderId="51" xfId="1" applyFill="1" applyBorder="1" applyAlignment="1">
      <alignment horizontal="center" vertical="center" wrapText="1"/>
    </xf>
    <xf numFmtId="0" fontId="2" fillId="4" borderId="49" xfId="1" applyFill="1" applyBorder="1" applyAlignment="1">
      <alignment horizontal="center" vertical="center"/>
    </xf>
    <xf numFmtId="0" fontId="2" fillId="4" borderId="52" xfId="1" applyFill="1" applyBorder="1" applyAlignment="1">
      <alignment horizontal="center" vertical="center"/>
    </xf>
    <xf numFmtId="1" fontId="2" fillId="4" borderId="53" xfId="1" applyNumberFormat="1" applyFill="1" applyBorder="1" applyAlignment="1">
      <alignment horizontal="center" vertical="center"/>
    </xf>
    <xf numFmtId="1" fontId="2" fillId="4" borderId="54" xfId="1" applyNumberFormat="1" applyFill="1" applyBorder="1" applyAlignment="1">
      <alignment horizontal="center" vertical="center"/>
    </xf>
    <xf numFmtId="0" fontId="5" fillId="2" borderId="0" xfId="1" applyFont="1" applyFill="1" applyBorder="1" applyAlignment="1" applyProtection="1">
      <alignment horizontal="center" vertical="center"/>
      <protection locked="0"/>
    </xf>
    <xf numFmtId="0" fontId="5" fillId="3" borderId="27" xfId="0" applyFont="1" applyFill="1" applyBorder="1" applyAlignment="1" applyProtection="1">
      <alignment horizontal="center"/>
      <protection locked="0"/>
    </xf>
    <xf numFmtId="0" fontId="18" fillId="3" borderId="27" xfId="0" applyFont="1" applyFill="1" applyBorder="1" applyAlignment="1" applyProtection="1">
      <alignment horizontal="center"/>
      <protection locked="0"/>
    </xf>
    <xf numFmtId="1" fontId="5" fillId="11" borderId="26" xfId="1" applyNumberFormat="1" applyFont="1" applyFill="1" applyBorder="1" applyAlignment="1">
      <alignment horizontal="center" vertical="center"/>
    </xf>
    <xf numFmtId="1" fontId="5" fillId="0" borderId="19" xfId="1" applyNumberFormat="1" applyFont="1" applyBorder="1" applyAlignment="1" applyProtection="1">
      <alignment horizontal="center" vertical="center"/>
      <protection locked="0"/>
    </xf>
  </cellXfs>
  <cellStyles count="3">
    <cellStyle name="Excel Built-in Normal" xfId="1" xr:uid="{1CEFB550-A8E9-42F2-A85F-73C4F187583E}"/>
    <cellStyle name="Hyperlink" xfId="2" builtinId="8"/>
    <cellStyle name="Normal" xfId="0" builtinId="0"/>
  </cellStyles>
  <dxfs count="16">
    <dxf>
      <fill>
        <patternFill>
          <bgColor rgb="FFFF8989"/>
        </patternFill>
      </fill>
    </dxf>
    <dxf>
      <fill>
        <patternFill>
          <bgColor rgb="FFFF8585"/>
        </patternFill>
      </fill>
    </dxf>
    <dxf>
      <fill>
        <patternFill>
          <bgColor rgb="FFFF8989"/>
        </patternFill>
      </fill>
    </dxf>
    <dxf>
      <fill>
        <patternFill>
          <bgColor rgb="FFFF8585"/>
        </patternFill>
      </fill>
    </dxf>
    <dxf>
      <font>
        <color auto="1"/>
      </font>
      <fill>
        <patternFill>
          <fgColor rgb="FFFFF2CC"/>
          <bgColor theme="7" tint="0.79998168889431442"/>
        </patternFill>
      </fill>
    </dxf>
    <dxf>
      <fill>
        <patternFill>
          <bgColor rgb="FFFFF2CC"/>
        </patternFill>
      </fill>
    </dxf>
    <dxf>
      <fill>
        <patternFill>
          <bgColor rgb="FFFF7979"/>
        </patternFill>
      </fill>
    </dxf>
    <dxf>
      <fill>
        <patternFill>
          <bgColor rgb="FFFFF2CC"/>
        </patternFill>
      </fill>
    </dxf>
    <dxf>
      <font>
        <color theme="1"/>
      </font>
      <fill>
        <patternFill>
          <bgColor theme="7" tint="0.79998168889431442"/>
        </patternFill>
      </fill>
    </dxf>
    <dxf>
      <font>
        <color theme="1"/>
      </font>
      <fill>
        <patternFill>
          <bgColor rgb="FFFF7979"/>
        </patternFill>
      </fill>
    </dxf>
    <dxf>
      <font>
        <color theme="1"/>
      </font>
      <fill>
        <patternFill>
          <bgColor theme="7" tint="0.79998168889431442"/>
        </patternFill>
      </fill>
    </dxf>
    <dxf>
      <font>
        <color theme="1"/>
      </font>
      <fill>
        <patternFill>
          <bgColor rgb="FFFF7979"/>
        </patternFill>
      </fill>
    </dxf>
    <dxf>
      <fill>
        <patternFill>
          <bgColor rgb="FFFF7979"/>
        </patternFill>
      </fill>
    </dxf>
    <dxf>
      <fill>
        <patternFill>
          <bgColor rgb="FFFFF2CC"/>
        </patternFill>
      </fill>
    </dxf>
    <dxf>
      <fill>
        <patternFill>
          <bgColor rgb="FFFF7979"/>
        </patternFill>
      </fill>
    </dxf>
    <dxf>
      <fill>
        <patternFill>
          <bgColor rgb="FFFFF2CC"/>
        </patternFill>
      </fill>
    </dxf>
  </dxfs>
  <tableStyles count="0" defaultTableStyle="TableStyleMedium2" defaultPivotStyle="PivotStyleLight16"/>
  <colors>
    <mruColors>
      <color rgb="FFFFC1C1"/>
      <color rgb="FFFFF2CC"/>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423333</xdr:colOff>
      <xdr:row>1</xdr:row>
      <xdr:rowOff>63500</xdr:rowOff>
    </xdr:from>
    <xdr:to>
      <xdr:col>5</xdr:col>
      <xdr:colOff>144288</xdr:colOff>
      <xdr:row>2</xdr:row>
      <xdr:rowOff>525286</xdr:rowOff>
    </xdr:to>
    <xdr:pic>
      <xdr:nvPicPr>
        <xdr:cNvPr id="3" name="Picture 2">
          <a:extLst>
            <a:ext uri="{FF2B5EF4-FFF2-40B4-BE49-F238E27FC236}">
              <a16:creationId xmlns:a16="http://schemas.microsoft.com/office/drawing/2014/main" id="{1C757643-FDD6-43A7-AB36-DA066D5F9BFB}"/>
            </a:ext>
          </a:extLst>
        </xdr:cNvPr>
        <xdr:cNvPicPr>
          <a:picLocks noChangeAspect="1"/>
        </xdr:cNvPicPr>
      </xdr:nvPicPr>
      <xdr:blipFill>
        <a:blip xmlns:r="http://schemas.openxmlformats.org/officeDocument/2006/relationships" r:embed="rId1"/>
        <a:stretch>
          <a:fillRect/>
        </a:stretch>
      </xdr:blipFill>
      <xdr:spPr>
        <a:xfrm>
          <a:off x="4649611" y="254000"/>
          <a:ext cx="1389945" cy="75494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ichard Jenkins" id="{C6BA05EB-7420-4686-AB80-9EFDBA9F5CA9}" userId="7544327f2871416f" providerId="Windows Liv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2" dT="2024-03-11T07:11:50.15" personId="{C6BA05EB-7420-4686-AB80-9EFDBA9F5CA9}" id="{55A34A74-E180-4179-92C4-AF7F4475C60C}">
    <text>Screecher measured by Alex McMillan 11/03/24</text>
  </threadedComment>
  <threadedComment ref="X41" dT="2023-03-22T05:12:02.59" personId="{C6BA05EB-7420-4686-AB80-9EFDBA9F5CA9}" id="{31A4E29E-55D9-41B0-9305-6E1E8B453AAB}">
    <text>Weight amended - 60kg New batteries</text>
  </threadedComment>
  <threadedComment ref="X83" dT="2024-04-30T02:08:54.28" personId="{C6BA05EB-7420-4686-AB80-9EFDBA9F5CA9}" id="{D229EF33-F9D2-44D5-97B6-642E71E62255}">
    <text>8kg added for new outboard</text>
  </threadedComment>
  <threadedComment ref="K100" dT="2024-03-11T07:11:50.15" personId="{C6BA05EB-7420-4686-AB80-9EFDBA9F5CA9}" id="{106D4006-7DCA-47D8-AD1D-D6B4C3356844}">
    <text>Screecher measured by Alex McMillan 11/03/24</text>
  </threadedComment>
  <threadedComment ref="X106" dT="2023-03-22T01:31:17.54" personId="{C6BA05EB-7420-4686-AB80-9EFDBA9F5CA9}" id="{F8634CFE-28BA-41FA-835C-C3FAC07504F3}">
    <text xml:space="preserve">Weight increased by 137 as 2 more sails added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1C22-A428-46AC-A035-DAA77AE0B1D3}">
  <dimension ref="A1:EI335"/>
  <sheetViews>
    <sheetView tabSelected="1" zoomScale="83" zoomScaleNormal="83" workbookViewId="0">
      <pane xSplit="7" ySplit="4" topLeftCell="T5" activePane="bottomRight" state="frozen"/>
      <selection pane="topRight" activeCell="H1" sqref="H1"/>
      <selection pane="bottomLeft" activeCell="A5" sqref="A5"/>
      <selection pane="bottomRight" activeCell="A14" sqref="A14:XFD14"/>
    </sheetView>
  </sheetViews>
  <sheetFormatPr defaultColWidth="0" defaultRowHeight="14.4" x14ac:dyDescent="0.3"/>
  <cols>
    <col min="1" max="1" width="1.5546875" style="15" customWidth="1"/>
    <col min="2" max="2" width="9.33203125" style="15" customWidth="1"/>
    <col min="3" max="3" width="23.88671875" style="15" customWidth="1"/>
    <col min="4" max="4" width="28.109375" style="15" customWidth="1"/>
    <col min="5" max="5" width="23.88671875" style="15" customWidth="1"/>
    <col min="6" max="6" width="10.5546875" style="15" customWidth="1"/>
    <col min="7" max="7" width="13.109375" style="15" customWidth="1"/>
    <col min="8" max="8" width="50" style="15" customWidth="1"/>
    <col min="9" max="10" width="10" style="15" customWidth="1"/>
    <col min="11" max="12" width="14.5546875" style="15" customWidth="1"/>
    <col min="13" max="13" width="39.44140625" style="15" customWidth="1"/>
    <col min="14" max="14" width="6.33203125" style="15" customWidth="1"/>
    <col min="15" max="15" width="0" style="15" hidden="1" customWidth="1"/>
    <col min="16" max="16" width="8" style="15" customWidth="1"/>
    <col min="17" max="22" width="5.6640625" style="15" customWidth="1"/>
    <col min="23" max="23" width="6" style="15" customWidth="1"/>
    <col min="24" max="24" width="7.44140625" style="15" customWidth="1"/>
    <col min="25" max="25" width="6.44140625" style="15" customWidth="1"/>
    <col min="26" max="26" width="5.6640625" style="15" customWidth="1"/>
    <col min="27" max="29" width="7.88671875" style="15" customWidth="1"/>
    <col min="30" max="30" width="9" style="15" customWidth="1"/>
    <col min="31" max="32" width="5.6640625" style="15" customWidth="1"/>
    <col min="33" max="33" width="13" style="15" customWidth="1"/>
    <col min="34" max="34" width="8.6640625" style="15" customWidth="1"/>
    <col min="35" max="35" width="13.44140625" style="15" customWidth="1"/>
    <col min="36" max="36" width="9.109375" style="15" hidden="1" customWidth="1"/>
    <col min="37" max="37" width="7.5546875" style="15" customWidth="1"/>
    <col min="38" max="48" width="5.6640625" style="15" customWidth="1"/>
    <col min="49" max="49" width="9.77734375" style="15" customWidth="1"/>
    <col min="50" max="51" width="5.6640625" style="15" customWidth="1"/>
    <col min="52" max="52" width="8.109375" style="15" customWidth="1"/>
    <col min="53" max="54" width="7.109375" style="15" customWidth="1"/>
    <col min="55" max="60" width="5.6640625" style="15" customWidth="1"/>
    <col min="61" max="61" width="8.109375" style="15" customWidth="1"/>
    <col min="62" max="62" width="9.88671875" style="15" customWidth="1"/>
    <col min="63" max="63" width="9.33203125" style="15" customWidth="1"/>
    <col min="64" max="64" width="9.5546875" style="15" customWidth="1"/>
    <col min="65" max="65" width="10.44140625" style="15" customWidth="1"/>
    <col min="66" max="66" width="11.88671875" style="15" hidden="1" customWidth="1"/>
    <col min="67" max="67" width="10.88671875" style="15" hidden="1" customWidth="1"/>
    <col min="68" max="68" width="9.77734375" style="15" hidden="1" customWidth="1"/>
    <col min="69" max="69" width="10.33203125" style="15" hidden="1" customWidth="1"/>
    <col min="70" max="70" width="10.77734375" style="15" hidden="1" customWidth="1"/>
    <col min="71" max="71" width="11.6640625" style="15" hidden="1" customWidth="1"/>
    <col min="72" max="72" width="11.33203125" style="15" hidden="1" customWidth="1"/>
    <col min="73" max="73" width="11.109375" style="15" hidden="1" customWidth="1"/>
    <col min="74" max="74" width="14.109375" style="15" hidden="1" customWidth="1"/>
    <col min="75" max="75" width="10.33203125" style="15" hidden="1" customWidth="1"/>
    <col min="76" max="76" width="10.44140625" style="15" hidden="1" customWidth="1"/>
    <col min="77" max="77" width="10.77734375" style="15" hidden="1" customWidth="1"/>
    <col min="78" max="78" width="12.77734375" style="15" hidden="1" customWidth="1"/>
    <col min="79" max="79" width="9" style="15" hidden="1" customWidth="1"/>
    <col min="80" max="80" width="7.21875" style="15" hidden="1" customWidth="1"/>
    <col min="81" max="81" width="10" style="15" customWidth="1"/>
    <col min="82" max="82" width="10.33203125" style="15" customWidth="1"/>
    <col min="83" max="83" width="9.44140625" style="15" customWidth="1"/>
    <col min="84" max="84" width="8.88671875" style="15" customWidth="1"/>
    <col min="85" max="85" width="9.77734375" style="15" customWidth="1"/>
    <col min="86" max="86" width="8.33203125" style="15" customWidth="1"/>
    <col min="87" max="87" width="8.33203125" style="15" hidden="1" customWidth="1"/>
    <col min="88" max="88" width="8.33203125" style="15" customWidth="1"/>
    <col min="89" max="89" width="6.5546875" style="15" customWidth="1"/>
    <col min="90" max="90" width="7.109375" style="15" customWidth="1"/>
    <col min="91" max="91" width="6.21875" style="15" customWidth="1"/>
    <col min="92" max="92" width="6.44140625" style="15" customWidth="1"/>
    <col min="93" max="93" width="8.44140625" style="15" customWidth="1"/>
    <col min="94" max="94" width="8.33203125" style="15" hidden="1" customWidth="1"/>
    <col min="95" max="95" width="8.33203125" style="15" customWidth="1"/>
    <col min="96" max="96" width="9.6640625" style="15" customWidth="1"/>
    <col min="97" max="97" width="9.5546875" style="15" customWidth="1"/>
    <col min="98" max="100" width="7.44140625" style="15" customWidth="1"/>
    <col min="101" max="102" width="7" style="15" customWidth="1"/>
    <col min="103" max="103" width="6.88671875" style="15" customWidth="1"/>
    <col min="104" max="104" width="8.77734375" style="15" customWidth="1"/>
    <col min="105" max="105" width="5.6640625" style="15" customWidth="1"/>
    <col min="106" max="106" width="7.88671875" style="15" customWidth="1"/>
    <col min="107" max="107" width="5.6640625" style="15" customWidth="1"/>
    <col min="108" max="108" width="7.21875" style="15" customWidth="1"/>
    <col min="109" max="113" width="5.6640625" style="15" customWidth="1"/>
    <col min="114" max="115" width="8.109375" style="15" customWidth="1"/>
    <col min="116" max="116" width="11" style="15" customWidth="1"/>
    <col min="117" max="124" width="8.109375" style="15" customWidth="1"/>
    <col min="125" max="126" width="8.6640625" style="15" customWidth="1"/>
    <col min="127" max="137" width="8.6640625" style="15" hidden="1" customWidth="1"/>
    <col min="138" max="139" width="0" style="15" hidden="1" customWidth="1"/>
    <col min="140" max="16384" width="8.6640625" style="15" hidden="1"/>
  </cols>
  <sheetData>
    <row r="1" spans="1:125" ht="15" thickBot="1" x14ac:dyDescent="0.35">
      <c r="A1" s="4"/>
      <c r="B1" s="5"/>
      <c r="C1" s="6"/>
      <c r="D1" s="7"/>
      <c r="E1" s="4"/>
      <c r="F1" s="8"/>
      <c r="G1" s="8"/>
      <c r="H1" s="214"/>
      <c r="I1" s="9"/>
      <c r="J1" s="5"/>
      <c r="K1" s="10"/>
      <c r="L1" s="5"/>
      <c r="M1" s="5"/>
      <c r="N1" s="11"/>
      <c r="O1" s="11"/>
      <c r="P1" s="12"/>
      <c r="Q1" s="12"/>
      <c r="R1" s="12"/>
      <c r="S1" s="12"/>
      <c r="T1" s="12"/>
      <c r="U1" s="12"/>
      <c r="V1" s="5"/>
      <c r="W1" s="5"/>
      <c r="X1" s="5"/>
      <c r="Y1" s="5"/>
      <c r="Z1" s="5"/>
      <c r="AA1" s="13"/>
      <c r="AB1" s="13"/>
      <c r="AC1" s="13"/>
      <c r="AD1" s="13"/>
      <c r="AE1" s="5"/>
      <c r="AF1" s="13"/>
      <c r="AG1" s="12"/>
      <c r="AH1" s="12"/>
      <c r="AI1" s="10"/>
      <c r="AJ1" s="10"/>
      <c r="AK1" s="10"/>
      <c r="AL1" s="5"/>
      <c r="AM1" s="13"/>
      <c r="AN1" s="13"/>
      <c r="AO1" s="13"/>
      <c r="AP1" s="13"/>
      <c r="AQ1" s="13"/>
      <c r="AR1" s="13"/>
      <c r="AS1" s="12"/>
      <c r="AT1" s="12"/>
      <c r="AU1" s="12"/>
      <c r="AV1" s="12"/>
      <c r="AW1" s="11"/>
      <c r="AX1" s="12"/>
      <c r="AY1" s="12"/>
      <c r="AZ1" s="12"/>
      <c r="BA1" s="12"/>
      <c r="BB1" s="12"/>
      <c r="BC1" s="12"/>
      <c r="BD1" s="12"/>
      <c r="BE1" s="12"/>
      <c r="BF1" s="12"/>
      <c r="BG1" s="12"/>
      <c r="BH1" s="12"/>
      <c r="BI1" s="12"/>
      <c r="BJ1" s="12"/>
      <c r="BK1" s="12"/>
      <c r="BL1" s="12"/>
      <c r="BM1" s="12"/>
      <c r="BN1" s="12"/>
      <c r="BO1" s="12"/>
      <c r="BP1" s="12"/>
      <c r="BQ1" s="12"/>
      <c r="BR1" s="13"/>
      <c r="BS1" s="11"/>
      <c r="BT1" s="12"/>
      <c r="BU1" s="5"/>
      <c r="BV1" s="5"/>
      <c r="BW1" s="12"/>
      <c r="BX1" s="5"/>
      <c r="BY1" s="5"/>
      <c r="BZ1" s="13"/>
      <c r="CA1" s="13"/>
      <c r="CB1" s="12"/>
      <c r="CC1" s="12"/>
      <c r="CD1" s="12"/>
      <c r="CE1" s="12"/>
      <c r="CF1" s="12"/>
      <c r="CG1" s="12"/>
      <c r="CH1" s="13"/>
      <c r="CI1" s="13"/>
      <c r="CJ1" s="12"/>
      <c r="CK1" s="12"/>
      <c r="CL1" s="12"/>
      <c r="CM1" s="12"/>
      <c r="CN1" s="12"/>
      <c r="CO1" s="12"/>
      <c r="CP1" s="12"/>
      <c r="CQ1" s="12"/>
      <c r="CR1" s="12"/>
      <c r="CS1" s="12"/>
      <c r="CT1" s="222"/>
      <c r="CU1" s="222"/>
      <c r="CV1" s="222"/>
      <c r="CW1" s="222"/>
      <c r="CX1" s="222"/>
      <c r="CY1" s="222"/>
      <c r="CZ1" s="222"/>
      <c r="DA1" s="12"/>
      <c r="DB1" s="12"/>
      <c r="DC1" s="12"/>
      <c r="DD1" s="12"/>
      <c r="DE1" s="12"/>
      <c r="DF1" s="5"/>
      <c r="DG1" s="12"/>
      <c r="DH1" s="12"/>
      <c r="DI1" s="12"/>
      <c r="DJ1" s="222"/>
      <c r="DK1" s="222"/>
      <c r="DL1" s="12"/>
      <c r="DM1" s="5"/>
      <c r="DN1" s="5"/>
      <c r="DO1" s="5"/>
      <c r="DP1" s="5"/>
      <c r="DQ1" s="5"/>
      <c r="DR1" s="5"/>
      <c r="DS1" s="5"/>
      <c r="DT1" s="5"/>
      <c r="DU1" s="14"/>
    </row>
    <row r="2" spans="1:125" ht="22.8" thickBot="1" x14ac:dyDescent="0.35">
      <c r="A2" s="4"/>
      <c r="B2" s="408" t="s">
        <v>1142</v>
      </c>
      <c r="C2" s="409"/>
      <c r="D2" s="409"/>
      <c r="E2" s="16"/>
      <c r="F2" s="180"/>
      <c r="G2" s="17"/>
      <c r="H2" s="181" t="s">
        <v>0</v>
      </c>
      <c r="I2" s="18"/>
      <c r="J2" s="18"/>
      <c r="K2" s="18"/>
      <c r="L2" s="18"/>
      <c r="M2" s="18"/>
      <c r="N2" s="18"/>
      <c r="O2" s="18"/>
      <c r="P2" s="18"/>
      <c r="Q2" s="19"/>
      <c r="R2" s="20"/>
      <c r="S2" s="20"/>
      <c r="T2" s="20"/>
      <c r="U2" s="20"/>
      <c r="V2" s="20"/>
      <c r="W2" s="20"/>
      <c r="X2" s="18"/>
      <c r="Y2" s="18"/>
      <c r="Z2" s="18"/>
      <c r="AA2" s="18"/>
      <c r="AB2" s="18"/>
      <c r="AC2" s="18"/>
      <c r="AD2" s="18"/>
      <c r="AE2" s="18"/>
      <c r="AF2" s="18"/>
      <c r="AG2" s="21"/>
      <c r="AH2" s="22"/>
      <c r="AI2" s="22"/>
      <c r="AJ2" s="22"/>
      <c r="AK2" s="22"/>
      <c r="AL2" s="18"/>
      <c r="AM2" s="22"/>
      <c r="AN2" s="22"/>
      <c r="AO2" s="22"/>
      <c r="AP2" s="22"/>
      <c r="AQ2" s="22"/>
      <c r="AR2" s="22"/>
      <c r="AS2" s="22"/>
      <c r="AT2" s="22"/>
      <c r="AU2" s="22"/>
      <c r="AV2" s="22"/>
      <c r="AW2" s="23"/>
      <c r="AX2" s="22"/>
      <c r="AY2" s="22"/>
      <c r="AZ2" s="22"/>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5"/>
      <c r="DK2" s="25"/>
      <c r="DL2" s="25"/>
      <c r="DM2" s="25"/>
      <c r="DN2" s="25"/>
      <c r="DO2" s="25"/>
      <c r="DP2" s="25"/>
      <c r="DQ2" s="25"/>
      <c r="DR2" s="25"/>
      <c r="DS2" s="25"/>
      <c r="DT2" s="26"/>
      <c r="DU2" s="27"/>
    </row>
    <row r="3" spans="1:125" ht="51" customHeight="1" thickBot="1" x14ac:dyDescent="0.35">
      <c r="A3" s="4"/>
      <c r="B3" s="410"/>
      <c r="C3" s="411"/>
      <c r="D3" s="411"/>
      <c r="E3" s="28"/>
      <c r="F3" s="3"/>
      <c r="G3" s="29"/>
      <c r="H3" s="30" t="s">
        <v>1</v>
      </c>
      <c r="I3" s="22"/>
      <c r="J3" s="22"/>
      <c r="K3" s="22"/>
      <c r="L3" s="22"/>
      <c r="M3" s="22"/>
      <c r="N3" s="22"/>
      <c r="O3" s="22"/>
      <c r="P3" s="31"/>
      <c r="Q3" s="412" t="s">
        <v>2</v>
      </c>
      <c r="R3" s="412"/>
      <c r="S3" s="412"/>
      <c r="T3" s="412"/>
      <c r="U3" s="412"/>
      <c r="V3" s="412"/>
      <c r="W3" s="32"/>
      <c r="X3" s="413" t="s">
        <v>3</v>
      </c>
      <c r="Y3" s="413"/>
      <c r="Z3" s="413"/>
      <c r="AA3" s="413"/>
      <c r="AB3" s="413"/>
      <c r="AC3" s="413"/>
      <c r="AD3" s="413"/>
      <c r="AE3" s="413"/>
      <c r="AF3" s="413"/>
      <c r="AG3" s="414" t="s">
        <v>4</v>
      </c>
      <c r="AH3" s="414"/>
      <c r="AI3" s="414"/>
      <c r="AJ3" s="414"/>
      <c r="AK3" s="414"/>
      <c r="AL3" s="413" t="s">
        <v>5</v>
      </c>
      <c r="AM3" s="413"/>
      <c r="AN3" s="413"/>
      <c r="AO3" s="413"/>
      <c r="AP3" s="413"/>
      <c r="AQ3" s="413"/>
      <c r="AR3" s="413"/>
      <c r="AS3" s="413"/>
      <c r="AT3" s="413"/>
      <c r="AU3" s="413"/>
      <c r="AV3" s="413"/>
      <c r="AW3" s="413"/>
      <c r="AX3" s="413"/>
      <c r="AY3" s="413"/>
      <c r="AZ3" s="413"/>
      <c r="BA3" s="415" t="s">
        <v>6</v>
      </c>
      <c r="BB3" s="415"/>
      <c r="BC3" s="405" t="s">
        <v>7</v>
      </c>
      <c r="BD3" s="405"/>
      <c r="BE3" s="405"/>
      <c r="BF3" s="405"/>
      <c r="BG3" s="405"/>
      <c r="BH3" s="405"/>
      <c r="BI3" s="405"/>
      <c r="BJ3" s="405"/>
      <c r="BK3" s="405"/>
      <c r="BL3" s="405"/>
      <c r="BM3" s="405"/>
      <c r="BN3" s="406" t="s">
        <v>8</v>
      </c>
      <c r="BO3" s="406"/>
      <c r="BP3" s="406"/>
      <c r="BQ3" s="406"/>
      <c r="BR3" s="406"/>
      <c r="BS3" s="406"/>
      <c r="BT3" s="406"/>
      <c r="BU3" s="406"/>
      <c r="BV3" s="407" t="s">
        <v>9</v>
      </c>
      <c r="BW3" s="407"/>
      <c r="BX3" s="407"/>
      <c r="BY3" s="407"/>
      <c r="BZ3" s="407"/>
      <c r="CA3" s="407"/>
      <c r="CB3" s="407"/>
      <c r="CC3" s="407"/>
      <c r="CD3" s="399" t="s">
        <v>10</v>
      </c>
      <c r="CE3" s="399"/>
      <c r="CF3" s="399"/>
      <c r="CG3" s="399"/>
      <c r="CH3" s="399"/>
      <c r="CI3" s="399"/>
      <c r="CJ3" s="399"/>
      <c r="CK3" s="396" t="s">
        <v>11</v>
      </c>
      <c r="CL3" s="397"/>
      <c r="CM3" s="397"/>
      <c r="CN3" s="397"/>
      <c r="CO3" s="397"/>
      <c r="CP3" s="397"/>
      <c r="CQ3" s="397"/>
      <c r="CR3" s="397"/>
      <c r="CS3" s="398"/>
      <c r="CT3" s="407" t="s">
        <v>12</v>
      </c>
      <c r="CU3" s="405"/>
      <c r="CV3" s="405"/>
      <c r="CW3" s="405"/>
      <c r="CX3" s="405"/>
      <c r="CY3" s="405"/>
      <c r="CZ3" s="405"/>
      <c r="DA3" s="399" t="s">
        <v>13</v>
      </c>
      <c r="DB3" s="399"/>
      <c r="DC3" s="399"/>
      <c r="DD3" s="399"/>
      <c r="DE3" s="399"/>
      <c r="DF3" s="399"/>
      <c r="DG3" s="399"/>
      <c r="DH3" s="399"/>
      <c r="DI3" s="399"/>
      <c r="DJ3" s="400" t="s">
        <v>14</v>
      </c>
      <c r="DK3" s="400"/>
      <c r="DL3" s="400"/>
      <c r="DM3" s="401" t="s">
        <v>15</v>
      </c>
      <c r="DN3" s="401"/>
      <c r="DO3" s="401"/>
      <c r="DP3" s="401"/>
      <c r="DQ3" s="401"/>
      <c r="DR3" s="401"/>
      <c r="DS3" s="401"/>
      <c r="DT3" s="33" t="s">
        <v>16</v>
      </c>
      <c r="DU3" s="27"/>
    </row>
    <row r="4" spans="1:125" ht="100.8" customHeight="1" thickBot="1" x14ac:dyDescent="0.35">
      <c r="A4" s="4"/>
      <c r="B4" s="34" t="s">
        <v>17</v>
      </c>
      <c r="C4" s="34" t="s">
        <v>18</v>
      </c>
      <c r="D4" s="35" t="s">
        <v>19</v>
      </c>
      <c r="E4" s="36" t="s">
        <v>20</v>
      </c>
      <c r="F4" s="37" t="s">
        <v>21</v>
      </c>
      <c r="G4" s="37" t="s">
        <v>22</v>
      </c>
      <c r="H4" s="38" t="s">
        <v>23</v>
      </c>
      <c r="I4" s="39" t="s">
        <v>24</v>
      </c>
      <c r="J4" s="40" t="s">
        <v>25</v>
      </c>
      <c r="K4" s="41" t="s">
        <v>26</v>
      </c>
      <c r="L4" s="40" t="s">
        <v>27</v>
      </c>
      <c r="M4" s="40" t="s">
        <v>28</v>
      </c>
      <c r="N4" s="42" t="s">
        <v>29</v>
      </c>
      <c r="O4" s="42" t="s">
        <v>30</v>
      </c>
      <c r="P4" s="43" t="s">
        <v>31</v>
      </c>
      <c r="Q4" s="44" t="s">
        <v>32</v>
      </c>
      <c r="R4" s="45" t="s">
        <v>33</v>
      </c>
      <c r="S4" s="45" t="s">
        <v>34</v>
      </c>
      <c r="T4" s="45" t="s">
        <v>35</v>
      </c>
      <c r="U4" s="45" t="s">
        <v>36</v>
      </c>
      <c r="V4" s="40" t="s">
        <v>37</v>
      </c>
      <c r="W4" s="46" t="s">
        <v>38</v>
      </c>
      <c r="X4" s="47" t="s">
        <v>39</v>
      </c>
      <c r="Y4" s="216" t="s">
        <v>40</v>
      </c>
      <c r="Z4" s="48" t="s">
        <v>41</v>
      </c>
      <c r="AA4" s="49" t="s">
        <v>42</v>
      </c>
      <c r="AB4" s="49" t="s">
        <v>43</v>
      </c>
      <c r="AC4" s="49" t="s">
        <v>44</v>
      </c>
      <c r="AD4" s="49" t="s">
        <v>45</v>
      </c>
      <c r="AE4" s="48" t="s">
        <v>46</v>
      </c>
      <c r="AF4" s="50" t="s">
        <v>47</v>
      </c>
      <c r="AG4" s="51" t="s">
        <v>48</v>
      </c>
      <c r="AH4" s="40" t="s">
        <v>49</v>
      </c>
      <c r="AI4" s="52" t="s">
        <v>50</v>
      </c>
      <c r="AJ4" s="53" t="s">
        <v>51</v>
      </c>
      <c r="AK4" s="53" t="s">
        <v>52</v>
      </c>
      <c r="AL4" s="54" t="s">
        <v>53</v>
      </c>
      <c r="AM4" s="55" t="s">
        <v>54</v>
      </c>
      <c r="AN4" s="55" t="s">
        <v>55</v>
      </c>
      <c r="AO4" s="55" t="s">
        <v>56</v>
      </c>
      <c r="AP4" s="55" t="s">
        <v>57</v>
      </c>
      <c r="AQ4" s="55" t="s">
        <v>58</v>
      </c>
      <c r="AR4" s="55" t="s">
        <v>59</v>
      </c>
      <c r="AS4" s="55" t="s">
        <v>60</v>
      </c>
      <c r="AT4" s="55" t="s">
        <v>61</v>
      </c>
      <c r="AU4" s="55" t="s">
        <v>62</v>
      </c>
      <c r="AV4" s="45" t="s">
        <v>63</v>
      </c>
      <c r="AW4" s="42" t="s">
        <v>64</v>
      </c>
      <c r="AX4" s="55" t="s">
        <v>65</v>
      </c>
      <c r="AY4" s="45" t="s">
        <v>66</v>
      </c>
      <c r="AZ4" s="43" t="s">
        <v>67</v>
      </c>
      <c r="BA4" s="44" t="s">
        <v>68</v>
      </c>
      <c r="BB4" s="56" t="s">
        <v>69</v>
      </c>
      <c r="BC4" s="54" t="s">
        <v>70</v>
      </c>
      <c r="BD4" s="55" t="s">
        <v>71</v>
      </c>
      <c r="BE4" s="55" t="s">
        <v>72</v>
      </c>
      <c r="BF4" s="55" t="s">
        <v>73</v>
      </c>
      <c r="BG4" s="55" t="s">
        <v>74</v>
      </c>
      <c r="BH4" s="55" t="s">
        <v>75</v>
      </c>
      <c r="BI4" s="45" t="s">
        <v>76</v>
      </c>
      <c r="BJ4" s="45" t="s">
        <v>77</v>
      </c>
      <c r="BK4" s="45" t="s">
        <v>78</v>
      </c>
      <c r="BL4" s="42" t="s">
        <v>64</v>
      </c>
      <c r="BM4" s="43" t="s">
        <v>79</v>
      </c>
      <c r="BN4" s="57" t="s">
        <v>80</v>
      </c>
      <c r="BO4" s="55" t="s">
        <v>81</v>
      </c>
      <c r="BP4" s="41" t="s">
        <v>82</v>
      </c>
      <c r="BQ4" s="41" t="s">
        <v>83</v>
      </c>
      <c r="BR4" s="55" t="s">
        <v>84</v>
      </c>
      <c r="BS4" s="41" t="s">
        <v>85</v>
      </c>
      <c r="BT4" s="41" t="s">
        <v>86</v>
      </c>
      <c r="BU4" s="56" t="s">
        <v>87</v>
      </c>
      <c r="BV4" s="54" t="s">
        <v>88</v>
      </c>
      <c r="BW4" s="55" t="s">
        <v>89</v>
      </c>
      <c r="BX4" s="55" t="s">
        <v>90</v>
      </c>
      <c r="BY4" s="55" t="s">
        <v>91</v>
      </c>
      <c r="BZ4" s="55" t="s">
        <v>92</v>
      </c>
      <c r="CA4" s="55" t="s">
        <v>93</v>
      </c>
      <c r="CB4" s="55" t="s">
        <v>94</v>
      </c>
      <c r="CC4" s="43" t="s">
        <v>95</v>
      </c>
      <c r="CD4" s="58" t="s">
        <v>96</v>
      </c>
      <c r="CE4" s="55" t="s">
        <v>97</v>
      </c>
      <c r="CF4" s="55" t="s">
        <v>98</v>
      </c>
      <c r="CG4" s="55" t="s">
        <v>99</v>
      </c>
      <c r="CH4" s="45" t="s">
        <v>100</v>
      </c>
      <c r="CI4" s="45" t="s">
        <v>101</v>
      </c>
      <c r="CJ4" s="56" t="s">
        <v>102</v>
      </c>
      <c r="CK4" s="54" t="s">
        <v>103</v>
      </c>
      <c r="CL4" s="55" t="s">
        <v>104</v>
      </c>
      <c r="CM4" s="55" t="s">
        <v>105</v>
      </c>
      <c r="CN4" s="55" t="s">
        <v>106</v>
      </c>
      <c r="CO4" s="40" t="s">
        <v>107</v>
      </c>
      <c r="CP4" s="45" t="s">
        <v>64</v>
      </c>
      <c r="CQ4" s="40" t="s">
        <v>108</v>
      </c>
      <c r="CR4" s="40" t="s">
        <v>109</v>
      </c>
      <c r="CS4" s="46" t="s">
        <v>110</v>
      </c>
      <c r="CT4" s="54" t="s">
        <v>111</v>
      </c>
      <c r="CU4" s="55" t="s">
        <v>112</v>
      </c>
      <c r="CV4" s="55" t="s">
        <v>113</v>
      </c>
      <c r="CW4" s="55" t="s">
        <v>114</v>
      </c>
      <c r="CX4" s="40" t="s">
        <v>115</v>
      </c>
      <c r="CY4" s="60" t="s">
        <v>116</v>
      </c>
      <c r="CZ4" s="46" t="s">
        <v>117</v>
      </c>
      <c r="DA4" s="59" t="s">
        <v>118</v>
      </c>
      <c r="DB4" s="40" t="s">
        <v>119</v>
      </c>
      <c r="DC4" s="45" t="s">
        <v>120</v>
      </c>
      <c r="DD4" s="45" t="s">
        <v>121</v>
      </c>
      <c r="DE4" s="45" t="s">
        <v>122</v>
      </c>
      <c r="DF4" s="40" t="s">
        <v>123</v>
      </c>
      <c r="DG4" s="45" t="s">
        <v>124</v>
      </c>
      <c r="DH4" s="45" t="s">
        <v>125</v>
      </c>
      <c r="DI4" s="60" t="s">
        <v>126</v>
      </c>
      <c r="DJ4" s="61" t="s">
        <v>127</v>
      </c>
      <c r="DK4" s="45" t="s">
        <v>128</v>
      </c>
      <c r="DL4" s="43" t="s">
        <v>129</v>
      </c>
      <c r="DM4" s="59" t="s">
        <v>130</v>
      </c>
      <c r="DN4" s="40" t="s">
        <v>131</v>
      </c>
      <c r="DO4" s="40" t="s">
        <v>132</v>
      </c>
      <c r="DP4" s="40" t="s">
        <v>133</v>
      </c>
      <c r="DQ4" s="40" t="s">
        <v>134</v>
      </c>
      <c r="DR4" s="60" t="s">
        <v>135</v>
      </c>
      <c r="DS4" s="60" t="s">
        <v>136</v>
      </c>
      <c r="DT4" s="62" t="s">
        <v>137</v>
      </c>
      <c r="DU4" s="63"/>
    </row>
    <row r="5" spans="1:125" ht="15.6" customHeight="1" x14ac:dyDescent="0.3">
      <c r="A5" s="27"/>
      <c r="B5" s="84" t="s">
        <v>1219</v>
      </c>
      <c r="C5" s="84" t="s">
        <v>1183</v>
      </c>
      <c r="D5" s="112" t="s">
        <v>1184</v>
      </c>
      <c r="E5" s="113" t="s">
        <v>1185</v>
      </c>
      <c r="F5" s="252">
        <f ca="1">IF(RW=0,0,ROUND(DLF*0.93*RL^LF*RSA^0.4/RW^0.325,3))</f>
        <v>0.85399999999999998</v>
      </c>
      <c r="G5" s="252" t="str">
        <f ca="1">IF(OR(FLSCR="ERROR",FLSPI="ERROR"),"No",IF(TODAY()-'Look Ups'!$D$4*365&gt;I5,"WP Applied","Yes"))</f>
        <v>Yes</v>
      </c>
      <c r="H5" s="254" t="str">
        <f>IF(SPC="","",CONCATENATE("Main-Genoa",IF(FLSCR="valid",IF(OR(CR5="Yes",MSAUSC&gt;0),"-Screacher (Upwind)","-Screacher"),""),IF(FLSPI="valid","-Spinnaker",""),IF(RSAMZ&gt;0,"-Mizzen",""),IF(RSA2M&gt;0,"-Second Main",""),IF(AS&gt;0,"-Staysail",""),IF(AD&gt;0,"-Drifter","")))</f>
        <v>Main-Genoa-Spinnaker</v>
      </c>
      <c r="I5" s="126">
        <v>45389</v>
      </c>
      <c r="J5" s="126">
        <v>45603</v>
      </c>
      <c r="K5" s="127" t="s">
        <v>1199</v>
      </c>
      <c r="L5" s="127" t="s">
        <v>164</v>
      </c>
      <c r="M5" s="210"/>
      <c r="N5" s="140" t="s">
        <v>143</v>
      </c>
      <c r="O5" s="140" t="s">
        <v>569</v>
      </c>
      <c r="P5" s="141">
        <v>5.43</v>
      </c>
      <c r="Q5" s="130">
        <v>7.07</v>
      </c>
      <c r="R5" s="127"/>
      <c r="S5" s="257">
        <f>IF((LOAA&gt;LOA),0.025*LOAA,0.025*LOA)</f>
        <v>0.17675000000000002</v>
      </c>
      <c r="T5" s="131"/>
      <c r="U5" s="131">
        <v>0</v>
      </c>
      <c r="V5" s="260">
        <f>IF((_xlfn.SINGLE(LOAA)&gt;_xlfn.SINGLE(LOA)),_xlfn.SINGLE(LOAA),_xlfn.SINGLE(LOA)-_xlfn.SINGLE(FOC)-_xlfn.SINGLE(AOC))</f>
        <v>7.07</v>
      </c>
      <c r="W5" s="261">
        <f>IF(RL&gt;0,IF(RL&gt;'Look Ups'!Y$7,'Look Ups'!Y$8,('Look Ups'!Y$3*RL^3+'Look Ups'!Y$4*RL^2+'Look Ups'!Y$5*RL+'Look Ups'!Y$6)),0)</f>
        <v>0.29004811701900002</v>
      </c>
      <c r="X5" s="132">
        <v>673</v>
      </c>
      <c r="Y5" s="264">
        <f ca="1">IF(WDATE&lt;(TODAY()-'Look Ups'!$D$4*365),-WM*'Look Ups'!$D$5/100,0)</f>
        <v>0</v>
      </c>
      <c r="Z5" s="133">
        <v>22</v>
      </c>
      <c r="AA5" s="376">
        <v>272</v>
      </c>
      <c r="AB5" s="378">
        <v>3</v>
      </c>
      <c r="AC5" s="271">
        <f>WCD+NC*'Look Ups'!$AF$3</f>
        <v>284</v>
      </c>
      <c r="AD5" s="271">
        <f ca="1">IF(RL&lt;'Look Ups'!AM$3,'Look Ups'!AM$4,IF(RL&gt;'Look Ups'!AM$5,'Look Ups'!AM$6,(RL-'Look Ups'!AM$3)/('Look Ups'!AM$5-'Look Ups'!AM$3)*('Look Ups'!AM$6-'Look Ups'!AM$4)+'Look Ups'!AM$4))/100*WS</f>
        <v>199.14909090909092</v>
      </c>
      <c r="AE5" s="271">
        <f ca="1">WM+WP+WE</f>
        <v>695</v>
      </c>
      <c r="AF5" s="272">
        <f ca="1">_xlfn.SINGLE(WS)+IF(_xlfn.SINGLE(TCW)&gt;=_xlfn.SINGLE(CWA),_xlfn.SINGLE(CWA),_xlfn.SINGLE(TCW))</f>
        <v>894.14909090909089</v>
      </c>
      <c r="AG5" s="134" t="s">
        <v>145</v>
      </c>
      <c r="AH5" s="135" t="s">
        <v>146</v>
      </c>
      <c r="AI5" s="124" t="s">
        <v>147</v>
      </c>
      <c r="AJ5" s="219"/>
      <c r="AK5" s="274">
        <f>IF(C5="",0,VLOOKUP(AG5,'Look Ups'!$F$3:$G$6,2,0)*VLOOKUP(AH5,'Look Ups'!$I$3:$J$5,2,0)*VLOOKUP(AI5,'Look Ups'!$L$3:$M$7,2,0)*IF(AJ5="",1,VLOOKUP(AJ5,'Look Ups'!$O$3:$P$4,2,0)))</f>
        <v>1</v>
      </c>
      <c r="AL5" s="136">
        <v>10.414999999999999</v>
      </c>
      <c r="AM5" s="131">
        <v>10.125</v>
      </c>
      <c r="AN5" s="131">
        <v>2.9249999999999998</v>
      </c>
      <c r="AO5" s="131">
        <v>1.0149999999999999</v>
      </c>
      <c r="AP5" s="131">
        <v>0.41499999999999998</v>
      </c>
      <c r="AQ5" s="131">
        <v>10.130000000000001</v>
      </c>
      <c r="AR5" s="131">
        <v>0.19</v>
      </c>
      <c r="AS5" s="131">
        <v>3.0249999999999999</v>
      </c>
      <c r="AT5" s="131">
        <v>0</v>
      </c>
      <c r="AU5" s="131">
        <v>0.46</v>
      </c>
      <c r="AV5" s="131" t="s">
        <v>148</v>
      </c>
      <c r="AW5" s="128"/>
      <c r="AX5" s="257">
        <f>P+ER</f>
        <v>10.130000000000001</v>
      </c>
      <c r="AY5" s="257">
        <f>P*0.375*MC</f>
        <v>1.747425</v>
      </c>
      <c r="AZ5" s="276">
        <f>IF(C5="",0,(0.5*(_ML1*LPM)+0.5*(_ML1*HB)+0.66*(P*PR)+0.66*(_ML2*RDM)+0.66*(E*ER))*VLOOKUP(BATT,'Look Ups'!$U$3:$V$4,2,0))</f>
        <v>24.561089499999998</v>
      </c>
      <c r="BA5" s="137"/>
      <c r="BB5" s="138"/>
      <c r="BC5" s="227">
        <v>9.26</v>
      </c>
      <c r="BD5" s="228">
        <v>2.5</v>
      </c>
      <c r="BE5" s="228">
        <v>2.82</v>
      </c>
      <c r="BF5" s="228">
        <v>0.2</v>
      </c>
      <c r="BG5" s="228">
        <v>8.34</v>
      </c>
      <c r="BH5" s="228">
        <v>8.34</v>
      </c>
      <c r="BI5" s="228">
        <v>0.05</v>
      </c>
      <c r="BJ5" s="228">
        <v>0.09</v>
      </c>
      <c r="BK5" s="228">
        <v>0.04</v>
      </c>
      <c r="BL5" s="128">
        <v>0</v>
      </c>
      <c r="BM5" s="276">
        <f>(0.5*LL*LPG)+(0.5*_LG1*HG)+(0.66*LL*LLRG)+(0.66*FG*FRG)+(IF((HG&gt;0),(0.66*_LG2*LRG),(0.66*_LG1*LRG)))</f>
        <v>12.8956</v>
      </c>
      <c r="BN5" s="287"/>
      <c r="BO5" s="288"/>
      <c r="BP5" s="289"/>
      <c r="BQ5" s="289"/>
      <c r="BR5" s="288"/>
      <c r="BS5" s="289"/>
      <c r="BT5" s="289"/>
      <c r="BU5" s="290">
        <f>(0.5*LLS*LPS)+(0.66*LLS*LLRS)+(0.66*LS*LRS)+(0.66*FS*FRS)</f>
        <v>0</v>
      </c>
      <c r="BV5" s="285"/>
      <c r="BW5" s="283"/>
      <c r="BX5" s="283"/>
      <c r="BY5" s="283"/>
      <c r="BZ5" s="283"/>
      <c r="CA5" s="283"/>
      <c r="CB5" s="283"/>
      <c r="CC5" s="276">
        <f>(0.5*LLD*LPD)+(0.66*LLD*LLRD)+(0.66*LCHD*LRD)+(0.66*FD*FRD)</f>
        <v>0</v>
      </c>
      <c r="CD5" s="137">
        <v>6.06</v>
      </c>
      <c r="CE5" s="131">
        <v>11.36</v>
      </c>
      <c r="CF5" s="131">
        <v>9.6999999999999993</v>
      </c>
      <c r="CG5" s="131">
        <v>4.9669999999999996</v>
      </c>
      <c r="CH5" s="271">
        <f>IF(SF&gt;0,SMG/SF*100,"")</f>
        <v>81.963696369636963</v>
      </c>
      <c r="CI5" s="292"/>
      <c r="CJ5" s="290">
        <f>SF*(_SL1+_SL2)/4+(SMG-SF/2)*(_SL1+_SL2)/3</f>
        <v>45.50363999999999</v>
      </c>
      <c r="CK5" s="227"/>
      <c r="CL5" s="228"/>
      <c r="CM5" s="228"/>
      <c r="CN5" s="228"/>
      <c r="CO5" s="257" t="str">
        <f>IF(SCRF&gt;0,SCRMG/SCRF*100,"")</f>
        <v/>
      </c>
      <c r="CP5" s="292"/>
      <c r="CQ5" s="257">
        <f>SCRF*(SCRL1+SCRL2)/4+(SCRMG-SCRF/2)*(SCRL1+SCRL2)/3</f>
        <v>0</v>
      </c>
      <c r="CR5" s="257" t="str">
        <f>IF(CO5&lt;'Look Ups'!$AC$4,"Yes","No")</f>
        <v>No</v>
      </c>
      <c r="CS5" s="272">
        <f>IF(CR5="Yes",MIN(150,('Look Ups'!$AC$4-PSCR)/('Look Ups'!$AC$4-'Look Ups'!$AC$3)*100),0)</f>
        <v>0</v>
      </c>
      <c r="CT5" s="227"/>
      <c r="CU5" s="228"/>
      <c r="CV5" s="228"/>
      <c r="CW5" s="228"/>
      <c r="CX5" s="257" t="str">
        <f>IF(USCRF&gt;0,USCRMG/USCRF*100,"")</f>
        <v/>
      </c>
      <c r="CY5" s="297">
        <f>IF(PUSCR&lt;'Look Ups'!$AC$4,MIN(150,('Look Ups'!$AC$4-PUSCR)/('Look Ups'!$AC$4-'Look Ups'!$AC$3)*100),0)</f>
        <v>0</v>
      </c>
      <c r="CZ5" s="276">
        <f>IF(PUSCR&lt;'Look Ups'!$AC$4,USCRF*(USCRL1+USCRL2)/4+(USCRMG-USCRF/2)*(USCRL1+USCRL2)/3,0)</f>
        <v>0</v>
      </c>
      <c r="DA5" s="298">
        <f>IF(ZVAL=1,1,IF(LPM&gt;0,0.64*((AM+MAM)/(E+(MC/2))^2)^0.3,0))</f>
        <v>1</v>
      </c>
      <c r="DB5" s="257">
        <f>0.65*((AM+MAM)*EFM)+0.35*((AM+MAM)*ZVAL)</f>
        <v>26.308514499999998</v>
      </c>
      <c r="DC5" s="257">
        <f>IF(ZVAL=1,1,IF(LPG&gt;0,0.72*(AG/(LPG^2))^0.3,0))</f>
        <v>1</v>
      </c>
      <c r="DD5" s="257">
        <f>AG*EFG</f>
        <v>12.8956</v>
      </c>
      <c r="DE5" s="257">
        <f>IF(AZ5&gt;0,'Look Ups'!$S$3,0)</f>
        <v>1</v>
      </c>
      <c r="DF5" s="257">
        <f>IF(LPS&gt;0,0.72*(AS/(LPS^2))^0.3,0)</f>
        <v>0</v>
      </c>
      <c r="DG5" s="257">
        <f>EFS*AS</f>
        <v>0</v>
      </c>
      <c r="DH5" s="257">
        <f>IF(LPD&gt;0,0.72*(AD/(LPD^2))^0.3,0)</f>
        <v>0</v>
      </c>
      <c r="DI5" s="290">
        <f>IF((AD-AG)&gt;0,0.3*(AD-AG)*EFD,0)</f>
        <v>0</v>
      </c>
      <c r="DJ5" s="299" t="str">
        <f>IF((SCRF=0),"-",IF(AND(MSASC&gt;AG,SCRMG&lt;(0.75*SCRF)),"valid","ERROR"))</f>
        <v>-</v>
      </c>
      <c r="DK5" s="271" t="str">
        <f>IF((SF=0),"-",IF((SMG&lt;(0.75*SF)),"ERROR",IF(AND(MSASP&gt;MSASC,MSASP&gt;AG,MSASP&gt;=0.36*RSAM),"valid","Small")))</f>
        <v>valid</v>
      </c>
      <c r="DL5" s="272" t="str">
        <f>IF(C5="","",CONCATENATE("MG",IF(FLSCR="valid","Scr",""),IF(FLSPI="valid","SP","")))</f>
        <v>MGSP</v>
      </c>
      <c r="DM5" s="298">
        <f>RSAM+RSAG</f>
        <v>39.204114499999996</v>
      </c>
      <c r="DN5" s="257">
        <f>IF(MSASP&gt;0,'Look Ups'!$AI$4*(ZVAL*MSASP-RSAG),0)</f>
        <v>9.7824119999999954</v>
      </c>
      <c r="DO5" s="257">
        <f>IF(AND(MSASC&gt;0,(MSASC&gt;=0.36*RSAM)),('Look Ups'!$AI$3*(ZVAL*MSASC-RSAG)),(0))</f>
        <v>0</v>
      </c>
      <c r="DP5" s="257">
        <f>IF(MSASP&gt;0,'Look Ups'!$AI$5*(ZVAL*MSASP-RSAG),0)</f>
        <v>9.1302511999999982</v>
      </c>
      <c r="DQ5" s="257">
        <f>IF(MSASC&gt;0,'Look Ups'!$AI$6*(MSASC-RSAG),0)</f>
        <v>0</v>
      </c>
      <c r="DR5" s="290">
        <f>'Look Ups'!$AI$7*MAX(IF(MSAUSC&gt;0,EUSC/100*(MSAUSC-RSAG),0),IF(CR5="Yes",ELSC/100*(MSASC-RSAG),0))</f>
        <v>0</v>
      </c>
      <c r="DS5" s="290">
        <f>0.36*RSAM</f>
        <v>9.4710652199999981</v>
      </c>
      <c r="DT5" s="300">
        <f>_xlfn.IFS(SPC="MG",RAMG+DS5,SPC="MGScr",RAMG+RASCO,SPC="MGSp",RAMG+RASPO,SPC="MGScrSp",RAMG+RASPSC+RASCR)+RAUSC+RSAST+RSAD+RSAMZ+RSA2M</f>
        <v>48.986526499999989</v>
      </c>
      <c r="DU5" s="63"/>
    </row>
    <row r="6" spans="1:125" ht="15.6" customHeight="1" x14ac:dyDescent="0.3">
      <c r="A6" s="27"/>
      <c r="B6" s="64" t="s">
        <v>1219</v>
      </c>
      <c r="C6" s="64" t="s">
        <v>276</v>
      </c>
      <c r="D6" s="85" t="s">
        <v>277</v>
      </c>
      <c r="E6" s="86" t="s">
        <v>278</v>
      </c>
      <c r="F6" s="252">
        <f ca="1">IF(RW=0,0,ROUND(DLF*0.93*RL^LF*RSA^0.4/RW^0.325,3))</f>
        <v>0.78600000000000003</v>
      </c>
      <c r="G6" s="252" t="str">
        <f ca="1">IF(OR(FLSCR="ERROR",FLSPI="ERROR"),"No",IF(TODAY()-'Look Ups'!$D$4*365&gt;I6,"WP Applied","Yes"))</f>
        <v>Yes</v>
      </c>
      <c r="H6" s="253" t="str">
        <f>IF(SPC="","",CONCATENATE("Main-Genoa",IF(FLSCR="valid",IF(OR(CR6="Yes",MSAUSC&gt;0),"-Screacher (Upwind)","-Screacher"),""),IF(FLSPI="valid","-Spinnaker",""),IF(RSAMZ&gt;0,"-Mizzen",""),IF(RSA2M&gt;0,"-Second Main",""),IF(AS&gt;0,"-Staysail",""),IF(AD&gt;0,"-Drifter","")))</f>
        <v>Main-Genoa-Screacher-Spinnaker</v>
      </c>
      <c r="I6" s="1">
        <v>43007</v>
      </c>
      <c r="J6" s="1">
        <v>45775</v>
      </c>
      <c r="K6" s="87" t="s">
        <v>206</v>
      </c>
      <c r="L6" s="87" t="s">
        <v>164</v>
      </c>
      <c r="M6" s="207"/>
      <c r="N6" s="88" t="s">
        <v>143</v>
      </c>
      <c r="O6" s="88" t="s">
        <v>154</v>
      </c>
      <c r="P6" s="100"/>
      <c r="Q6" s="90">
        <v>7.24</v>
      </c>
      <c r="R6" s="87"/>
      <c r="S6" s="256">
        <f>IF((LOAA&gt;LOA),0.025*LOAA,0.025*LOA)</f>
        <v>0.18100000000000002</v>
      </c>
      <c r="T6" s="91"/>
      <c r="U6" s="91"/>
      <c r="V6" s="258">
        <f>IF((_xlfn.SINGLE(LOAA)&gt;_xlfn.SINGLE(LOA)),_xlfn.SINGLE(LOAA),_xlfn.SINGLE(LOA)-_xlfn.SINGLE(FOC)-_xlfn.SINGLE(AOC))</f>
        <v>7.24</v>
      </c>
      <c r="W6" s="259">
        <f>IF(RL&gt;0,IF(RL&gt;'Look Ups'!Y$7,'Look Ups'!Y$8,('Look Ups'!Y$3*RL^3+'Look Ups'!Y$4*RL^2+'Look Ups'!Y$5*RL+'Look Ups'!Y$6)),0)</f>
        <v>0.29081897299199999</v>
      </c>
      <c r="X6" s="92">
        <v>920</v>
      </c>
      <c r="Y6" s="262">
        <f ca="1">IF(WDATE&lt;(TODAY()-'Look Ups'!$D$4*365),-WM*'Look Ups'!$D$5/100,0)</f>
        <v>0</v>
      </c>
      <c r="Z6" s="93">
        <v>41</v>
      </c>
      <c r="AA6" s="225">
        <v>280</v>
      </c>
      <c r="AB6" s="226">
        <v>3</v>
      </c>
      <c r="AC6" s="265">
        <f>WCD+NC*'Look Ups'!$AF$3</f>
        <v>292</v>
      </c>
      <c r="AD6" s="265">
        <f ca="1">IF(RL&lt;'Look Ups'!AM$3,'Look Ups'!AM$4,IF(RL&gt;'Look Ups'!AM$5,'Look Ups'!AM$6,(RL-'Look Ups'!AM$3)/('Look Ups'!AM$5-'Look Ups'!AM$3)*('Look Ups'!AM$6-'Look Ups'!AM$4)+'Look Ups'!AM$4))/100*WS</f>
        <v>269.42945454545458</v>
      </c>
      <c r="AE6" s="266">
        <f ca="1">WM+WP+WE</f>
        <v>961</v>
      </c>
      <c r="AF6" s="267">
        <f ca="1">_xlfn.SINGLE(WS)+IF(_xlfn.SINGLE(TCW)&gt;=_xlfn.SINGLE(CWA),_xlfn.SINGLE(CWA),_xlfn.SINGLE(TCW))</f>
        <v>1230.4294545454545</v>
      </c>
      <c r="AG6" s="94" t="s">
        <v>145</v>
      </c>
      <c r="AH6" s="95" t="s">
        <v>146</v>
      </c>
      <c r="AI6" s="96" t="s">
        <v>147</v>
      </c>
      <c r="AJ6" s="218"/>
      <c r="AK6" s="273">
        <f>IF(C6="",0,VLOOKUP(AG6,'Look Ups'!$F$3:$G$6,2,0)*VLOOKUP(AH6,'Look Ups'!$I$3:$J$5,2,0)*VLOOKUP(AI6,'Look Ups'!$L$3:$M$7,2,0)*IF(AJ6="",1,VLOOKUP(AJ6,'Look Ups'!$O$3:$P$4,2,0)))</f>
        <v>1</v>
      </c>
      <c r="AL6" s="83">
        <v>10.38</v>
      </c>
      <c r="AM6" s="91">
        <v>10.131</v>
      </c>
      <c r="AN6" s="91">
        <v>3.04</v>
      </c>
      <c r="AO6" s="91">
        <v>1.0580000000000001</v>
      </c>
      <c r="AP6" s="91">
        <v>0.43</v>
      </c>
      <c r="AQ6" s="91">
        <v>10.109</v>
      </c>
      <c r="AR6" s="91">
        <v>6.2E-2</v>
      </c>
      <c r="AS6" s="91">
        <v>3.1160000000000001</v>
      </c>
      <c r="AT6" s="91">
        <v>4.0000000000000001E-3</v>
      </c>
      <c r="AU6" s="91">
        <v>0.49</v>
      </c>
      <c r="AV6" s="91" t="s">
        <v>148</v>
      </c>
      <c r="AW6" s="97"/>
      <c r="AX6" s="256">
        <f>P+ER</f>
        <v>10.113</v>
      </c>
      <c r="AY6" s="256">
        <f>P*0.375*MC</f>
        <v>1.85752875</v>
      </c>
      <c r="AZ6" s="275">
        <f>IF(C6="",0,(0.5*(_ML1*LPM)+0.5*(_ML1*HB)+0.66*(P*PR)+0.66*(_ML2*RDM)+0.66*(E*ER))*VLOOKUP(BATT,'Look Ups'!$U$3:$V$4,2,0))</f>
        <v>24.565684319999999</v>
      </c>
      <c r="BA6" s="98"/>
      <c r="BB6" s="99"/>
      <c r="BC6" s="83">
        <v>7.87</v>
      </c>
      <c r="BD6" s="91">
        <v>2.64</v>
      </c>
      <c r="BE6" s="91">
        <v>2.97</v>
      </c>
      <c r="BF6" s="91">
        <v>0.115</v>
      </c>
      <c r="BG6" s="91">
        <v>6.9</v>
      </c>
      <c r="BH6" s="91">
        <v>6.88</v>
      </c>
      <c r="BI6" s="91">
        <v>5.8000000000000003E-2</v>
      </c>
      <c r="BJ6" s="91">
        <v>0.06</v>
      </c>
      <c r="BK6" s="91">
        <v>0.04</v>
      </c>
      <c r="BL6" s="97"/>
      <c r="BM6" s="275">
        <f>(0.5*LL*LPG)+(0.5*_LG1*HG)+(0.66*LL*LLRG)+(0.66*FG*FRG)+(IF((HG&gt;0),(0.66*_LG2*LRG),(0.66*_LG1*LRG)))</f>
        <v>11.294139000000001</v>
      </c>
      <c r="BN6" s="282"/>
      <c r="BO6" s="283"/>
      <c r="BP6" s="284"/>
      <c r="BQ6" s="284"/>
      <c r="BR6" s="283"/>
      <c r="BS6" s="284"/>
      <c r="BT6" s="284"/>
      <c r="BU6" s="280">
        <f>(0.5*LLS*LPS)+(0.66*LLS*LLRS)+(0.66*LS*LRS)+(0.66*FS*FRS)</f>
        <v>0</v>
      </c>
      <c r="BV6" s="285"/>
      <c r="BW6" s="283"/>
      <c r="BX6" s="283"/>
      <c r="BY6" s="283"/>
      <c r="BZ6" s="283"/>
      <c r="CA6" s="283"/>
      <c r="CB6" s="283"/>
      <c r="CC6" s="275">
        <f>(0.5*LLD*LPD)+(0.66*LLD*LLRD)+(0.66*LCHD*LRD)+(0.66*FD*FRD)</f>
        <v>0</v>
      </c>
      <c r="CD6" s="98">
        <v>6.9</v>
      </c>
      <c r="CE6" s="91">
        <v>12.3</v>
      </c>
      <c r="CF6" s="91">
        <v>10.23</v>
      </c>
      <c r="CG6" s="91">
        <v>5.19</v>
      </c>
      <c r="CH6" s="266">
        <f>IF(SF&gt;0,SMG/SF*100,"")</f>
        <v>75.217391304347828</v>
      </c>
      <c r="CI6" s="283"/>
      <c r="CJ6" s="280">
        <f>SF*(_SL1+_SL2)/4+(SMG-SF/2)*(_SL1+_SL2)/3</f>
        <v>51.931650000000005</v>
      </c>
      <c r="CK6" s="83">
        <v>5.99</v>
      </c>
      <c r="CL6" s="91">
        <v>10.531000000000001</v>
      </c>
      <c r="CM6" s="91">
        <v>9.7710000000000008</v>
      </c>
      <c r="CN6" s="91">
        <v>3.12</v>
      </c>
      <c r="CO6" s="256">
        <f>IF(SCRF&gt;0,SCRMG/SCRF*100,"")</f>
        <v>52.086811352253761</v>
      </c>
      <c r="CP6" s="283"/>
      <c r="CQ6" s="256">
        <f>SCRF*(SCRL1+SCRL2)/4+(SCRMG-SCRF/2)*(SCRL1+SCRL2)/3</f>
        <v>31.248161666666668</v>
      </c>
      <c r="CR6" s="256" t="str">
        <f>IF(CO6&lt;'Look Ups'!$AC$4,"Yes","No")</f>
        <v>No</v>
      </c>
      <c r="CS6" s="267">
        <f>IF(CR6="Yes",MIN(150,('Look Ups'!$AC$4-PSCR)/('Look Ups'!$AC$4-'Look Ups'!$AC$3)*100),0)</f>
        <v>0</v>
      </c>
      <c r="CT6" s="83"/>
      <c r="CU6" s="91"/>
      <c r="CV6" s="91"/>
      <c r="CW6" s="91"/>
      <c r="CX6" s="256" t="str">
        <f>IF(USCRF&gt;0,USCRMG/USCRF*100,"")</f>
        <v/>
      </c>
      <c r="CY6" s="293">
        <f>IF(PUSCR&lt;'Look Ups'!$AC$4,MIN(150,('Look Ups'!$AC$4-PUSCR)/('Look Ups'!$AC$4-'Look Ups'!$AC$3)*100),0)</f>
        <v>0</v>
      </c>
      <c r="CZ6" s="275">
        <f>IF(PUSCR&lt;'Look Ups'!$AC$4,USCRF*(USCRL1+USCRL2)/4+(USCRMG-USCRF/2)*(USCRL1+USCRL2)/3,0)</f>
        <v>0</v>
      </c>
      <c r="DA6" s="294">
        <f>IF(ZVAL=1,1,IF(LPM&gt;0,0.64*((AM+MAM)/(E+(MC/2))^2)^0.3,0))</f>
        <v>1</v>
      </c>
      <c r="DB6" s="256">
        <f>0.65*((AM+MAM)*EFM)+0.35*((AM+MAM)*ZVAL)</f>
        <v>26.423213069999996</v>
      </c>
      <c r="DC6" s="256">
        <f>IF(ZVAL=1,1,IF(LPG&gt;0,0.72*(AG/(LPG^2))^0.3,0))</f>
        <v>1</v>
      </c>
      <c r="DD6" s="256">
        <f>AG*EFG</f>
        <v>11.294139000000001</v>
      </c>
      <c r="DE6" s="256">
        <f>IF(AZ6&gt;0,'Look Ups'!$S$3,0)</f>
        <v>1</v>
      </c>
      <c r="DF6" s="256">
        <f>IF(LPS&gt;0,0.72*(AS/(LPS^2))^0.3,0)</f>
        <v>0</v>
      </c>
      <c r="DG6" s="256">
        <f>EFS*AS</f>
        <v>0</v>
      </c>
      <c r="DH6" s="256">
        <f>IF(LPD&gt;0,0.72*(AD/(LPD^2))^0.3,0)</f>
        <v>0</v>
      </c>
      <c r="DI6" s="280">
        <f>IF((AD-AG)&gt;0,0.3*(AD-AG)*EFD,0)</f>
        <v>0</v>
      </c>
      <c r="DJ6" s="295" t="str">
        <f>IF((SCRF=0),"-",IF(AND(MSASC&gt;AG,SCRMG&lt;(0.75*SCRF)),"valid","ERROR"))</f>
        <v>valid</v>
      </c>
      <c r="DK6" s="266" t="str">
        <f>IF((SF=0),"-",IF((SMG&lt;(0.75*SF)),"ERROR",IF(AND(MSASP&gt;MSASC,MSASP&gt;AG,MSASP&gt;=0.36*RSAM),"valid","Small")))</f>
        <v>valid</v>
      </c>
      <c r="DL6" s="267" t="str">
        <f>IF(C6="","",CONCATENATE("MG",IF(FLSCR="valid","Scr",""),IF(FLSPI="valid","SP","")))</f>
        <v>MGScrSP</v>
      </c>
      <c r="DM6" s="294">
        <f>RSAM+RSAG</f>
        <v>37.717352069999997</v>
      </c>
      <c r="DN6" s="256">
        <f>IF(MSASP&gt;0,'Look Ups'!$AI$4*(ZVAL*MSASP-RSAG),0)</f>
        <v>12.191253300000001</v>
      </c>
      <c r="DO6" s="256">
        <f>IF(AND(MSASC&gt;0,(MSASC&gt;=0.36*RSAM)),('Look Ups'!$AI$3*(ZVAL*MSASC-RSAG)),(0))</f>
        <v>6.9839079333333327</v>
      </c>
      <c r="DP6" s="256">
        <f>IF(MSASP&gt;0,'Look Ups'!$AI$5*(ZVAL*MSASP-RSAG),0)</f>
        <v>11.378503080000002</v>
      </c>
      <c r="DQ6" s="256">
        <f>IF(MSASC&gt;0,'Look Ups'!$AI$6*(MSASC-RSAG),0)</f>
        <v>1.3967815866666669</v>
      </c>
      <c r="DR6" s="280">
        <f>'Look Ups'!$AI$7*MAX(IF(MSAUSC&gt;0,EUSC/100*(MSAUSC-RSAG),0),IF(CR6="Yes",ELSC/100*(MSASC-RSAG),0))</f>
        <v>0</v>
      </c>
      <c r="DS6" s="280">
        <f>0.36*RSAM</f>
        <v>9.5123567051999984</v>
      </c>
      <c r="DT6" s="296">
        <f>_xlfn.IFS(SPC="MG",RAMG+DS6,SPC="MGScr",RAMG+RASCO,SPC="MGSp",RAMG+RASPO,SPC="MGScrSp",RAMG+RASPSC+RASCR)+RAUSC+RSAST+RSAD+RSAMZ+RSA2M</f>
        <v>50.492636736666668</v>
      </c>
      <c r="DU6" s="63"/>
    </row>
    <row r="7" spans="1:125" ht="15.6" customHeight="1" x14ac:dyDescent="0.3">
      <c r="A7" s="4"/>
      <c r="B7" s="84" t="s">
        <v>1219</v>
      </c>
      <c r="C7" s="64" t="s">
        <v>1125</v>
      </c>
      <c r="D7" s="85" t="s">
        <v>327</v>
      </c>
      <c r="E7" s="86" t="s">
        <v>1126</v>
      </c>
      <c r="F7" s="252">
        <f ca="1">IF(RW=0,0,ROUND(DLF*0.93*RL^LF*RSA^0.4/RW^0.325,3))</f>
        <v>0.875</v>
      </c>
      <c r="G7" s="252" t="str">
        <f ca="1">IF(OR(FLSCR="ERROR",FLSPI="ERROR"),"No",IF(TODAY()-'Look Ups'!$D$4*365&gt;I7,"WP Applied","Yes"))</f>
        <v>Yes</v>
      </c>
      <c r="H7" s="253" t="str">
        <f>IF(SPC="","",CONCATENATE("Main-Genoa",IF(FLSCR="valid",IF(OR(CR7="Yes",MSAUSC&gt;0),"-Screacher (Upwind)","-Screacher"),""),IF(FLSPI="valid","-Spinnaker",""),IF(RSAMZ&gt;0,"-Mizzen",""),IF(RSA2M&gt;0,"-Second Main",""),IF(AS&gt;0,"-Staysail",""),IF(AD&gt;0,"-Drifter","")))</f>
        <v>Main-Genoa-Screacher-Spinnaker</v>
      </c>
      <c r="I7" s="1">
        <v>45727</v>
      </c>
      <c r="J7" s="1">
        <v>45727</v>
      </c>
      <c r="K7" s="87" t="s">
        <v>1135</v>
      </c>
      <c r="L7" s="87" t="s">
        <v>164</v>
      </c>
      <c r="M7" s="207"/>
      <c r="N7" s="88" t="s">
        <v>143</v>
      </c>
      <c r="O7" s="88" t="s">
        <v>144</v>
      </c>
      <c r="P7" s="89"/>
      <c r="Q7" s="90">
        <v>7.95</v>
      </c>
      <c r="R7" s="87"/>
      <c r="S7" s="256">
        <f>IF((LOAA&gt;LOA),0.025*LOAA,0.025*LOA)</f>
        <v>0.19875000000000001</v>
      </c>
      <c r="T7" s="91">
        <v>7.4999999999999997E-2</v>
      </c>
      <c r="U7" s="91"/>
      <c r="V7" s="258">
        <f>IF((_xlfn.SINGLE(LOAA)&gt;_xlfn.SINGLE(LOA)),_xlfn.SINGLE(LOAA),_xlfn.SINGLE(LOA)-_xlfn.SINGLE(FOC)-_xlfn.SINGLE(AOC))</f>
        <v>7.875</v>
      </c>
      <c r="W7" s="259">
        <f>IF(RL&gt;0,IF(RL&gt;'Look Ups'!Y$7,'Look Ups'!Y$8,('Look Ups'!Y$3*RL^3+'Look Ups'!Y$4*RL^2+'Look Ups'!Y$5*RL+'Look Ups'!Y$6)),0)</f>
        <v>0.29335693554687503</v>
      </c>
      <c r="X7" s="92">
        <v>950</v>
      </c>
      <c r="Y7" s="262">
        <f ca="1">IF(WDATE&lt;(TODAY()-'Look Ups'!$D$4*365),-WM*'Look Ups'!$D$5/100,0)</f>
        <v>0</v>
      </c>
      <c r="Z7" s="93">
        <v>13</v>
      </c>
      <c r="AA7" s="93">
        <v>330</v>
      </c>
      <c r="AB7" s="75">
        <v>3</v>
      </c>
      <c r="AC7" s="265">
        <f>WCD+NC*'Look Ups'!$AF$3</f>
        <v>342</v>
      </c>
      <c r="AD7" s="265">
        <f ca="1">IF(RL&lt;'Look Ups'!AM$3,'Look Ups'!AM$4,IF(RL&gt;'Look Ups'!AM$5,'Look Ups'!AM$6,(RL-'Look Ups'!AM$3)/('Look Ups'!AM$5-'Look Ups'!AM$3)*('Look Ups'!AM$6-'Look Ups'!AM$4)+'Look Ups'!AM$4))/100*WS</f>
        <v>247.75363636363636</v>
      </c>
      <c r="AE7" s="266">
        <f ca="1">WM+WP+WE</f>
        <v>963</v>
      </c>
      <c r="AF7" s="267">
        <f ca="1">_xlfn.SINGLE(WS)+IF(_xlfn.SINGLE(TCW)&gt;=_xlfn.SINGLE(CWA),_xlfn.SINGLE(CWA),_xlfn.SINGLE(TCW))</f>
        <v>1210.7536363636364</v>
      </c>
      <c r="AG7" s="94" t="s">
        <v>145</v>
      </c>
      <c r="AH7" s="95" t="s">
        <v>146</v>
      </c>
      <c r="AI7" s="96" t="s">
        <v>147</v>
      </c>
      <c r="AJ7" s="218"/>
      <c r="AK7" s="273">
        <f>IF(C7="",0,VLOOKUP(AG7,'Look Ups'!$F$3:$G$6,2,0)*VLOOKUP(AH7,'Look Ups'!$I$3:$J$5,2,0)*VLOOKUP(AI7,'Look Ups'!$L$3:$M$7,2,0)*IF(AJ7="",1,VLOOKUP(AJ7,'Look Ups'!$O$3:$P$4,2,0)))</f>
        <v>1</v>
      </c>
      <c r="AL7" s="83">
        <v>11.276999999999999</v>
      </c>
      <c r="AM7" s="91">
        <v>11.068</v>
      </c>
      <c r="AN7" s="91">
        <v>3.0230000000000001</v>
      </c>
      <c r="AO7" s="91">
        <v>0.96899999999999997</v>
      </c>
      <c r="AP7" s="91">
        <v>0.47399999999999998</v>
      </c>
      <c r="AQ7" s="91">
        <v>11</v>
      </c>
      <c r="AR7" s="91">
        <v>3.2000000000000001E-2</v>
      </c>
      <c r="AS7" s="91">
        <v>3.08</v>
      </c>
      <c r="AT7" s="91">
        <v>7.0000000000000001E-3</v>
      </c>
      <c r="AU7" s="91">
        <v>0.62</v>
      </c>
      <c r="AV7" s="91" t="s">
        <v>148</v>
      </c>
      <c r="AW7" s="97"/>
      <c r="AX7" s="256">
        <f>P+ER</f>
        <v>11.007</v>
      </c>
      <c r="AY7" s="256">
        <f>P*0.375*MC</f>
        <v>2.5575000000000001</v>
      </c>
      <c r="AZ7" s="275">
        <f>IF(C7="",0,(0.5*(_ML1*LPM)+0.5*(_ML1*HB)+0.66*(P*PR)+0.66*(_ML2*RDM)+0.66*(E*ER))*VLOOKUP(BATT,'Look Ups'!$U$3:$V$4,2,0))</f>
        <v>26.217954720000002</v>
      </c>
      <c r="BA7" s="98"/>
      <c r="BB7" s="99"/>
      <c r="BC7" s="83">
        <v>8.6</v>
      </c>
      <c r="BD7" s="91">
        <v>3.3610000000000002</v>
      </c>
      <c r="BE7" s="91">
        <v>3.6680000000000001</v>
      </c>
      <c r="BF7" s="91">
        <v>0.13400000000000001</v>
      </c>
      <c r="BG7" s="91">
        <v>7.68</v>
      </c>
      <c r="BH7" s="91"/>
      <c r="BI7" s="91"/>
      <c r="BJ7" s="91">
        <v>0</v>
      </c>
      <c r="BK7" s="91">
        <v>6.7000000000000004E-2</v>
      </c>
      <c r="BL7" s="97"/>
      <c r="BM7" s="275">
        <f>(0.5*LL*LPG)+(0.5*_LG1*HG)+(0.66*LL*LLRG)+(0.66*FG*FRG)+(IF((HG&gt;0),(0.66*_LG2*LRG),(0.66*_LG1*LRG)))</f>
        <v>15.156989920000003</v>
      </c>
      <c r="BN7" s="282"/>
      <c r="BO7" s="283"/>
      <c r="BP7" s="284"/>
      <c r="BQ7" s="284"/>
      <c r="BR7" s="283"/>
      <c r="BS7" s="284"/>
      <c r="BT7" s="284"/>
      <c r="BU7" s="280">
        <f>(0.5*LLS*LPS)+(0.66*LLS*LLRS)+(0.66*LS*LRS)+(0.66*FS*FRS)</f>
        <v>0</v>
      </c>
      <c r="BV7" s="285"/>
      <c r="BW7" s="283"/>
      <c r="BX7" s="283"/>
      <c r="BY7" s="283"/>
      <c r="BZ7" s="283"/>
      <c r="CA7" s="283"/>
      <c r="CB7" s="283"/>
      <c r="CC7" s="275">
        <f>(0.5*LLD*LPD)+(0.66*LLD*LLRD)+(0.66*LCHD*LRD)+(0.66*FD*FRD)</f>
        <v>0</v>
      </c>
      <c r="CD7" s="98">
        <v>7.68</v>
      </c>
      <c r="CE7" s="91">
        <v>10.38</v>
      </c>
      <c r="CF7" s="91">
        <v>12.54</v>
      </c>
      <c r="CG7" s="91">
        <v>7.2</v>
      </c>
      <c r="CH7" s="266">
        <f>IF(SF&gt;0,SMG/SF*100,"")</f>
        <v>93.750000000000014</v>
      </c>
      <c r="CI7" s="283"/>
      <c r="CJ7" s="280">
        <f>SF*(_SL1+_SL2)/4+(SMG-SF/2)*(_SL1+_SL2)/3</f>
        <v>69.6768</v>
      </c>
      <c r="CK7" s="83">
        <v>7.27</v>
      </c>
      <c r="CL7" s="91">
        <v>10.17</v>
      </c>
      <c r="CM7" s="91">
        <v>8.15</v>
      </c>
      <c r="CN7" s="91">
        <v>3.79</v>
      </c>
      <c r="CO7" s="256">
        <f>IF(SCRF&gt;0,SCRMG/SCRF*100,"")</f>
        <v>52.132049518569467</v>
      </c>
      <c r="CP7" s="283"/>
      <c r="CQ7" s="256">
        <f>SCRF*(SCRL1+SCRL2)/4+(SCRMG-SCRF/2)*(SCRL1+SCRL2)/3</f>
        <v>34.243133333333333</v>
      </c>
      <c r="CR7" s="256" t="str">
        <f>IF(CO7&lt;'Look Ups'!$AC$4,"Yes","No")</f>
        <v>No</v>
      </c>
      <c r="CS7" s="267">
        <f>IF(CR7="Yes",MIN(150,('Look Ups'!$AC$4-PSCR)/('Look Ups'!$AC$4-'Look Ups'!$AC$3)*100),0)</f>
        <v>0</v>
      </c>
      <c r="CT7" s="83"/>
      <c r="CU7" s="91"/>
      <c r="CV7" s="91"/>
      <c r="CW7" s="91"/>
      <c r="CX7" s="256" t="str">
        <f>IF(USCRF&gt;0,USCRMG/USCRF*100,"")</f>
        <v/>
      </c>
      <c r="CY7" s="293">
        <f>IF(PUSCR&lt;'Look Ups'!$AC$4,MIN(150,('Look Ups'!$AC$4-PUSCR)/('Look Ups'!$AC$4-'Look Ups'!$AC$3)*100),0)</f>
        <v>0</v>
      </c>
      <c r="CZ7" s="275">
        <f>IF(PUSCR&lt;'Look Ups'!$AC$4,USCRF*(USCRL1+USCRL2)/4+(USCRMG-USCRF/2)*(USCRL1+USCRL2)/3,0)</f>
        <v>0</v>
      </c>
      <c r="DA7" s="294">
        <f>IF(ZVAL=1,1,IF(LPM&gt;0,0.64*((AM+MAM)/(E+(MC/2))^2)^0.3,0))</f>
        <v>1</v>
      </c>
      <c r="DB7" s="256">
        <f>0.65*((AM+MAM)*EFM)+0.35*((AM+MAM)*ZVAL)</f>
        <v>28.775454720000003</v>
      </c>
      <c r="DC7" s="256">
        <f>IF(ZVAL=1,1,IF(LPG&gt;0,0.72*(AG/(LPG^2))^0.3,0))</f>
        <v>1</v>
      </c>
      <c r="DD7" s="256">
        <f>AG*EFG</f>
        <v>15.156989920000003</v>
      </c>
      <c r="DE7" s="256">
        <f>IF(AZ7&gt;0,'Look Ups'!$S$3,0)</f>
        <v>1</v>
      </c>
      <c r="DF7" s="256">
        <f>IF(LPS&gt;0,0.72*(AS/(LPS^2))^0.3,0)</f>
        <v>0</v>
      </c>
      <c r="DG7" s="256">
        <f>EFS*AS</f>
        <v>0</v>
      </c>
      <c r="DH7" s="256">
        <f>IF(LPD&gt;0,0.72*(AD/(LPD^2))^0.3,0)</f>
        <v>0</v>
      </c>
      <c r="DI7" s="280">
        <f>IF((AD-AG)&gt;0,0.3*(AD-AG)*EFD,0)</f>
        <v>0</v>
      </c>
      <c r="DJ7" s="295" t="str">
        <f>IF((SCRF=0),"-",IF(AND(MSASC&gt;AG,SCRMG&lt;(0.75*SCRF)),"valid","ERROR"))</f>
        <v>valid</v>
      </c>
      <c r="DK7" s="266" t="str">
        <f>IF((SF=0),"-",IF((SMG&lt;(0.75*SF)),"ERROR",IF(AND(MSASP&gt;MSASC,MSASP&gt;AG,MSASP&gt;=0.36*RSAM),"valid","Small")))</f>
        <v>valid</v>
      </c>
      <c r="DL7" s="267" t="str">
        <f>IF(C7="","",CONCATENATE("MG",IF(FLSCR="valid","Scr",""),IF(FLSPI="valid","SP","")))</f>
        <v>MGScrSP</v>
      </c>
      <c r="DM7" s="294">
        <f>RSAM+RSAG</f>
        <v>43.932444640000007</v>
      </c>
      <c r="DN7" s="256">
        <f>IF(MSASP&gt;0,'Look Ups'!$AI$4*(ZVAL*MSASP-RSAG),0)</f>
        <v>16.355943023999998</v>
      </c>
      <c r="DO7" s="256">
        <f>IF(AND(MSASC&gt;0,(MSASC&gt;=0.36*RSAM)),('Look Ups'!$AI$3*(ZVAL*MSASC-RSAG)),(0))</f>
        <v>6.6801501946666662</v>
      </c>
      <c r="DP7" s="256">
        <f>IF(MSASP&gt;0,'Look Ups'!$AI$5*(ZVAL*MSASP-RSAG),0)</f>
        <v>15.265546822400001</v>
      </c>
      <c r="DQ7" s="256">
        <f>IF(MSASC&gt;0,'Look Ups'!$AI$6*(MSASC-RSAG),0)</f>
        <v>1.3360300389333333</v>
      </c>
      <c r="DR7" s="280">
        <f>'Look Ups'!$AI$7*MAX(IF(MSAUSC&gt;0,EUSC/100*(MSAUSC-RSAG),0),IF(CR7="Yes",ELSC/100*(MSASC-RSAG),0))</f>
        <v>0</v>
      </c>
      <c r="DS7" s="280">
        <f>0.36*RSAM</f>
        <v>10.3591636992</v>
      </c>
      <c r="DT7" s="296">
        <f>_xlfn.IFS(SPC="MG",RAMG+DS7,SPC="MGScr",RAMG+RASCO,SPC="MGSp",RAMG+RASPO,SPC="MGScrSp",RAMG+RASPSC+RASCR)+RAUSC+RSAST+RSAD+RSAMZ+RSA2M</f>
        <v>60.534021501333342</v>
      </c>
      <c r="DU7" s="105"/>
    </row>
    <row r="8" spans="1:125" ht="15.6" customHeight="1" x14ac:dyDescent="0.3">
      <c r="A8" s="4"/>
      <c r="B8" s="64" t="s">
        <v>1219</v>
      </c>
      <c r="C8" s="64" t="s">
        <v>1157</v>
      </c>
      <c r="D8" s="85" t="s">
        <v>382</v>
      </c>
      <c r="E8" s="86" t="s">
        <v>322</v>
      </c>
      <c r="F8" s="252">
        <f ca="1">IF(RW=0,0,ROUND(DLF*0.93*RL^LF*RSA^0.4/RW^0.325,3))</f>
        <v>0.81</v>
      </c>
      <c r="G8" s="252" t="str">
        <f ca="1">IF(OR(FLSCR="ERROR",FLSPI="ERROR"),"No",IF(TODAY()-'Look Ups'!$D$4*365&gt;I8,"WP Applied","Yes"))</f>
        <v>Yes</v>
      </c>
      <c r="H8" s="253" t="str">
        <f>IF(SPC="","",CONCATENATE("Main-Genoa",IF(FLSCR="valid",IF(OR(CR8="Yes",MSAUSC&gt;0),"-Screacher (Upwind)","-Screacher"),""),IF(FLSPI="valid","-Spinnaker",""),IF(RSAMZ&gt;0,"-Mizzen",""),IF(RSA2M&gt;0,"-Second Main",""),IF(AS&gt;0,"-Staysail",""),IF(AD&gt;0,"-Drifter","")))</f>
        <v>Main-Genoa-Screacher-Spinnaker</v>
      </c>
      <c r="I8" s="1">
        <v>45616</v>
      </c>
      <c r="J8" s="1">
        <v>45737</v>
      </c>
      <c r="K8" s="87" t="s">
        <v>1200</v>
      </c>
      <c r="L8" s="87" t="s">
        <v>164</v>
      </c>
      <c r="M8" s="207"/>
      <c r="N8" s="97" t="s">
        <v>143</v>
      </c>
      <c r="O8" s="97" t="s">
        <v>154</v>
      </c>
      <c r="P8" s="102"/>
      <c r="Q8" s="90">
        <v>8.74</v>
      </c>
      <c r="R8" s="87"/>
      <c r="S8" s="256">
        <f>IF((LOAA&gt;LOA),0.025*LOAA,0.025*LOA)</f>
        <v>0.21850000000000003</v>
      </c>
      <c r="T8" s="91">
        <v>0.18</v>
      </c>
      <c r="U8" s="91"/>
      <c r="V8" s="258">
        <f>IF((_xlfn.SINGLE(LOAA)&gt;_xlfn.SINGLE(LOA)),_xlfn.SINGLE(LOAA),_xlfn.SINGLE(LOA)-_xlfn.SINGLE(FOC)-_xlfn.SINGLE(AOC))</f>
        <v>8.56</v>
      </c>
      <c r="W8" s="259">
        <f>IF(RL&gt;0,IF(RL&gt;'Look Ups'!Y$7,'Look Ups'!Y$8,('Look Ups'!Y$3*RL^3+'Look Ups'!Y$4*RL^2+'Look Ups'!Y$5*RL+'Look Ups'!Y$6)),0)</f>
        <v>0.29553528652800004</v>
      </c>
      <c r="X8" s="92">
        <v>1505</v>
      </c>
      <c r="Y8" s="262">
        <f ca="1">IF(WDATE&lt;(TODAY()-'Look Ups'!$D$4*365),-WM*'Look Ups'!$D$5/100,0)</f>
        <v>0</v>
      </c>
      <c r="Z8" s="93">
        <v>40</v>
      </c>
      <c r="AA8" s="93">
        <v>235</v>
      </c>
      <c r="AB8" s="75">
        <v>3</v>
      </c>
      <c r="AC8" s="265">
        <f>WCD+NC*'Look Ups'!$AF$3</f>
        <v>247</v>
      </c>
      <c r="AD8" s="265">
        <f ca="1">IF(RL&lt;'Look Ups'!AM$3,'Look Ups'!AM$4,IF(RL&gt;'Look Ups'!AM$5,'Look Ups'!AM$6,(RL-'Look Ups'!AM$3)/('Look Ups'!AM$5-'Look Ups'!AM$3)*('Look Ups'!AM$6-'Look Ups'!AM$4)+'Look Ups'!AM$4))/100*WS</f>
        <v>359.00181818181818</v>
      </c>
      <c r="AE8" s="266">
        <f ca="1">WM+WP+WE</f>
        <v>1545</v>
      </c>
      <c r="AF8" s="267">
        <f ca="1">_xlfn.SINGLE(WS)+IF(_xlfn.SINGLE(TCW)&gt;=_xlfn.SINGLE(CWA),_xlfn.SINGLE(CWA),_xlfn.SINGLE(TCW))</f>
        <v>1792</v>
      </c>
      <c r="AG8" s="94" t="s">
        <v>145</v>
      </c>
      <c r="AH8" s="95" t="s">
        <v>146</v>
      </c>
      <c r="AI8" s="96" t="s">
        <v>147</v>
      </c>
      <c r="AJ8" s="218"/>
      <c r="AK8" s="273">
        <f>IF(C8="",0,VLOOKUP(AG8,'Look Ups'!$F$3:$G$6,2,0)*VLOOKUP(AH8,'Look Ups'!$I$3:$J$5,2,0)*VLOOKUP(AI8,'Look Ups'!$L$3:$M$7,2,0)*IF(AJ8="",1,VLOOKUP(AJ8,'Look Ups'!$O$3:$P$4,2,0)))</f>
        <v>1</v>
      </c>
      <c r="AL8" s="83">
        <v>11.2</v>
      </c>
      <c r="AM8" s="91">
        <v>10.77</v>
      </c>
      <c r="AN8" s="91">
        <v>3.36</v>
      </c>
      <c r="AO8" s="91">
        <v>1.42</v>
      </c>
      <c r="AP8" s="91">
        <v>0.25</v>
      </c>
      <c r="AQ8" s="91">
        <v>10.54</v>
      </c>
      <c r="AR8" s="91">
        <v>0.04</v>
      </c>
      <c r="AS8" s="91">
        <v>3.53</v>
      </c>
      <c r="AT8" s="91">
        <v>7.1999999999999995E-2</v>
      </c>
      <c r="AU8" s="91">
        <v>0.48</v>
      </c>
      <c r="AV8" s="91" t="s">
        <v>148</v>
      </c>
      <c r="AW8" s="97"/>
      <c r="AX8" s="256">
        <f>P+ER</f>
        <v>10.611999999999998</v>
      </c>
      <c r="AY8" s="256">
        <f>P*0.375*MC</f>
        <v>1.8971999999999998</v>
      </c>
      <c r="AZ8" s="275">
        <f>IF(C8="",0,(0.5*(_ML1*LPM)+0.5*(_ML1*HB)+0.66*(P*PR)+0.66*(_ML2*RDM)+0.66*(E*ER))*VLOOKUP(BATT,'Look Ups'!$U$3:$V$4,2,0))</f>
        <v>28.991051599999995</v>
      </c>
      <c r="BA8" s="98"/>
      <c r="BB8" s="99"/>
      <c r="BC8" s="83">
        <v>9.4499999999999993</v>
      </c>
      <c r="BD8" s="91">
        <v>3.51</v>
      </c>
      <c r="BE8" s="91">
        <v>3.85</v>
      </c>
      <c r="BF8" s="91">
        <v>0.15</v>
      </c>
      <c r="BG8" s="91">
        <v>8.51</v>
      </c>
      <c r="BH8" s="91">
        <v>8.48</v>
      </c>
      <c r="BI8" s="91">
        <v>0.05</v>
      </c>
      <c r="BJ8" s="91">
        <v>-0.15</v>
      </c>
      <c r="BK8" s="91">
        <v>-0.05</v>
      </c>
      <c r="BL8" s="97"/>
      <c r="BM8" s="275">
        <f>(0.5*LL*LPG)+(0.5*_LG1*HG)+(0.66*LL*LLRG)+(0.66*FG*FRG)+(IF((HG&gt;0),(0.66*_LG2*LRG),(0.66*_LG1*LRG)))</f>
        <v>16.027279999999998</v>
      </c>
      <c r="BN8" s="282"/>
      <c r="BO8" s="283"/>
      <c r="BP8" s="284"/>
      <c r="BQ8" s="284"/>
      <c r="BR8" s="283"/>
      <c r="BS8" s="284"/>
      <c r="BT8" s="284"/>
      <c r="BU8" s="280">
        <f>(0.5*LLS*LPS)+(0.66*LLS*LLRS)+(0.66*LS*LRS)+(0.66*FS*FRS)</f>
        <v>0</v>
      </c>
      <c r="BV8" s="285"/>
      <c r="BW8" s="283"/>
      <c r="BX8" s="283"/>
      <c r="BY8" s="283"/>
      <c r="BZ8" s="283"/>
      <c r="CA8" s="283"/>
      <c r="CB8" s="283"/>
      <c r="CC8" s="275">
        <f>(0.5*LLD*LPD)+(0.66*LLD*LLRD)+(0.66*LCHD*LRD)+(0.66*FD*FRD)</f>
        <v>0</v>
      </c>
      <c r="CD8" s="98">
        <v>8.2100000000000009</v>
      </c>
      <c r="CE8" s="91">
        <v>10.68</v>
      </c>
      <c r="CF8" s="91">
        <v>12.15</v>
      </c>
      <c r="CG8" s="91">
        <v>7.36</v>
      </c>
      <c r="CH8" s="266">
        <f>IF(SF&gt;0,SMG/SF*100,"")</f>
        <v>89.646772228989036</v>
      </c>
      <c r="CI8" s="283"/>
      <c r="CJ8" s="280">
        <f>SF*(_SL1+_SL2)/4+(SMG-SF/2)*(_SL1+_SL2)/3</f>
        <v>71.629125000000002</v>
      </c>
      <c r="CK8" s="83">
        <v>7.14</v>
      </c>
      <c r="CL8" s="91">
        <v>10.19</v>
      </c>
      <c r="CM8" s="91">
        <v>8.65</v>
      </c>
      <c r="CN8" s="91">
        <v>3.75</v>
      </c>
      <c r="CO8" s="256">
        <f>IF(SCRF&gt;0,SCRMG/SCRF*100,"")</f>
        <v>52.52100840336135</v>
      </c>
      <c r="CP8" s="286"/>
      <c r="CQ8" s="256">
        <f>SCRF*(SCRL1+SCRL2)/4+(SCRMG-SCRF/2)*(SCRL1+SCRL2)/3</f>
        <v>34.759799999999998</v>
      </c>
      <c r="CR8" s="256" t="str">
        <f>IF(CO8&lt;'Look Ups'!$AC$4,"Yes","No")</f>
        <v>No</v>
      </c>
      <c r="CS8" s="267">
        <f>IF(CR8="Yes",MIN(150,('Look Ups'!$AC$4-PSCR)/('Look Ups'!$AC$4-'Look Ups'!$AC$3)*100),0)</f>
        <v>0</v>
      </c>
      <c r="CT8" s="83"/>
      <c r="CU8" s="91"/>
      <c r="CV8" s="91"/>
      <c r="CW8" s="91"/>
      <c r="CX8" s="256" t="str">
        <f>IF(USCRF&gt;0,USCRMG/USCRF*100,"")</f>
        <v/>
      </c>
      <c r="CY8" s="293">
        <f>IF(PUSCR&lt;'Look Ups'!$AC$4,MIN(150,('Look Ups'!$AC$4-PUSCR)/('Look Ups'!$AC$4-'Look Ups'!$AC$3)*100),0)</f>
        <v>0</v>
      </c>
      <c r="CZ8" s="275">
        <f>IF(PUSCR&lt;'Look Ups'!$AC$4,USCRF*(USCRL1+USCRL2)/4+(USCRMG-USCRF/2)*(USCRL1+USCRL2)/3,0)</f>
        <v>0</v>
      </c>
      <c r="DA8" s="294">
        <f>IF(ZVAL=1,1,IF(LPM&gt;0,0.64*((AM+MAM)/(E+(MC/2))^2)^0.3,0))</f>
        <v>1</v>
      </c>
      <c r="DB8" s="256">
        <f>0.65*((AM+MAM)*EFM)+0.35*((AM+MAM)*ZVAL)</f>
        <v>30.888251599999997</v>
      </c>
      <c r="DC8" s="256">
        <f>IF(ZVAL=1,1,IF(LPG&gt;0,0.72*(AG/(LPG^2))^0.3,0))</f>
        <v>1</v>
      </c>
      <c r="DD8" s="256">
        <f>AG*EFG</f>
        <v>16.027279999999998</v>
      </c>
      <c r="DE8" s="256">
        <f>IF(AZ8&gt;0,'Look Ups'!$S$3,0)</f>
        <v>1</v>
      </c>
      <c r="DF8" s="256">
        <f>IF(LPS&gt;0,0.72*(AS/(LPS^2))^0.3,0)</f>
        <v>0</v>
      </c>
      <c r="DG8" s="256">
        <f>EFS*AS</f>
        <v>0</v>
      </c>
      <c r="DH8" s="256">
        <f>IF(LPD&gt;0,0.72*(AD/(LPD^2))^0.3,0)</f>
        <v>0</v>
      </c>
      <c r="DI8" s="280">
        <f>IF((AD-AG)&gt;0,0.3*(AD-AG)*EFD,0)</f>
        <v>0</v>
      </c>
      <c r="DJ8" s="295" t="str">
        <f>IF((SCRF=0),"-",IF(AND(MSASC&gt;AG,SCRMG&lt;(0.75*SCRF)),"valid","ERROR"))</f>
        <v>valid</v>
      </c>
      <c r="DK8" s="266" t="str">
        <f>IF((SF=0),"-",IF((SMG&lt;(0.75*SF)),"ERROR",IF(AND(MSASP&gt;MSASC,MSASP&gt;AG,MSASP&gt;=0.36*RSAM),"valid","Small")))</f>
        <v>valid</v>
      </c>
      <c r="DL8" s="267" t="str">
        <f>IF(C8="","",CONCATENATE("MG",IF(FLSCR="valid","Scr",""),IF(FLSPI="valid","SP","")))</f>
        <v>MGScrSP</v>
      </c>
      <c r="DM8" s="294">
        <f>RSAM+RSAG</f>
        <v>46.915531599999994</v>
      </c>
      <c r="DN8" s="256">
        <f>IF(MSASP&gt;0,'Look Ups'!$AI$4*(ZVAL*MSASP-RSAG),0)</f>
        <v>16.680553500000002</v>
      </c>
      <c r="DO8" s="256">
        <f>IF(AND(MSASC&gt;0,(MSASC&gt;=0.36*RSAM)),('Look Ups'!$AI$3*(ZVAL*MSASC-RSAG)),(0))</f>
        <v>6.5563820000000002</v>
      </c>
      <c r="DP8" s="256">
        <f>IF(MSASP&gt;0,'Look Ups'!$AI$5*(ZVAL*MSASP-RSAG),0)</f>
        <v>15.568516600000002</v>
      </c>
      <c r="DQ8" s="256">
        <f>IF(MSASC&gt;0,'Look Ups'!$AI$6*(MSASC-RSAG),0)</f>
        <v>1.3112764000000001</v>
      </c>
      <c r="DR8" s="280">
        <f>'Look Ups'!$AI$7*MAX(IF(MSAUSC&gt;0,EUSC/100*(MSAUSC-RSAG),0),IF(CR8="Yes",ELSC/100*(MSASC-RSAG),0))</f>
        <v>0</v>
      </c>
      <c r="DS8" s="280">
        <f>0.36*RSAM</f>
        <v>11.119770575999999</v>
      </c>
      <c r="DT8" s="296">
        <f>_xlfn.IFS(SPC="MG",RAMG+DS8,SPC="MGScr",RAMG+RASCO,SPC="MGSp",RAMG+RASPO,SPC="MGScrSp",RAMG+RASPSC+RASCR)+RAUSC+RSAST+RSAD+RSAMZ+RSA2M</f>
        <v>63.795324599999994</v>
      </c>
      <c r="DU8" s="63"/>
    </row>
    <row r="9" spans="1:125" ht="15.6" customHeight="1" x14ac:dyDescent="0.3">
      <c r="A9" s="4"/>
      <c r="B9" s="64" t="s">
        <v>1219</v>
      </c>
      <c r="C9" s="64" t="s">
        <v>354</v>
      </c>
      <c r="D9" s="85" t="s">
        <v>355</v>
      </c>
      <c r="E9" s="86" t="s">
        <v>356</v>
      </c>
      <c r="F9" s="252">
        <f ca="1">IF(RW=0,0,ROUND(DLF*0.93*RL^LF*RSA^0.4/RW^0.325,3))</f>
        <v>0.79900000000000004</v>
      </c>
      <c r="G9" s="252" t="str">
        <f ca="1">IF(OR(FLSCR="ERROR",FLSPI="ERROR"),"No",IF(TODAY()-'Look Ups'!$D$4*365&gt;I9,"WP Applied","Yes"))</f>
        <v>Yes</v>
      </c>
      <c r="H9" s="253" t="str">
        <f>IF(SPC="","",CONCATENATE("Main-Genoa",IF(FLSCR="valid",IF(OR(CR9="Yes",MSAUSC&gt;0),"-Screacher (Upwind)","-Screacher"),""),IF(FLSPI="valid","-Spinnaker",""),IF(RSAMZ&gt;0,"-Mizzen",""),IF(RSA2M&gt;0,"-Second Main",""),IF(AS&gt;0,"-Staysail",""),IF(AD&gt;0,"-Drifter","")))</f>
        <v>Main-Genoa-Screacher (Upwind)-Spinnaker</v>
      </c>
      <c r="I9" s="1">
        <v>45408</v>
      </c>
      <c r="J9" s="1">
        <v>45408</v>
      </c>
      <c r="K9" s="87" t="s">
        <v>1180</v>
      </c>
      <c r="L9" s="87" t="s">
        <v>164</v>
      </c>
      <c r="M9" s="207"/>
      <c r="N9" s="97" t="s">
        <v>143</v>
      </c>
      <c r="O9" s="97" t="s">
        <v>154</v>
      </c>
      <c r="P9" s="100"/>
      <c r="Q9" s="90">
        <v>8.34</v>
      </c>
      <c r="R9" s="87"/>
      <c r="S9" s="256">
        <f>IF((LOAA&gt;LOA),0.025*LOAA,0.025*LOA)</f>
        <v>0.20850000000000002</v>
      </c>
      <c r="T9" s="91">
        <v>0.26</v>
      </c>
      <c r="U9" s="91"/>
      <c r="V9" s="258">
        <f>IF((_xlfn.SINGLE(LOAA)&gt;_xlfn.SINGLE(LOA)),_xlfn.SINGLE(LOAA),_xlfn.SINGLE(LOA)-_xlfn.SINGLE(FOC)-_xlfn.SINGLE(AOC))</f>
        <v>8.08</v>
      </c>
      <c r="W9" s="259">
        <f>IF(RL&gt;0,IF(RL&gt;'Look Ups'!Y$7,'Look Ups'!Y$8,('Look Ups'!Y$3*RL^3+'Look Ups'!Y$4*RL^2+'Look Ups'!Y$5*RL+'Look Ups'!Y$6)),0)</f>
        <v>0.29406700569600003</v>
      </c>
      <c r="X9" s="92">
        <v>1430</v>
      </c>
      <c r="Y9" s="262">
        <f ca="1">IF(WDATE&lt;(TODAY()-'Look Ups'!$D$4*365),-WM*'Look Ups'!$D$5/100,0)</f>
        <v>0</v>
      </c>
      <c r="Z9" s="87">
        <v>31</v>
      </c>
      <c r="AA9" s="93">
        <v>324</v>
      </c>
      <c r="AB9" s="75">
        <v>3</v>
      </c>
      <c r="AC9" s="265">
        <f>WCD+NC*'Look Ups'!$AF$3</f>
        <v>336</v>
      </c>
      <c r="AD9" s="265">
        <f ca="1">IF(RL&lt;'Look Ups'!AM$3,'Look Ups'!AM$4,IF(RL&gt;'Look Ups'!AM$5,'Look Ups'!AM$6,(RL-'Look Ups'!AM$3)/('Look Ups'!AM$5-'Look Ups'!AM$3)*('Look Ups'!AM$6-'Look Ups'!AM$4)+'Look Ups'!AM$4))/100*WS</f>
        <v>364.98436363636358</v>
      </c>
      <c r="AE9" s="266">
        <f ca="1">WM+WP+WE</f>
        <v>1461</v>
      </c>
      <c r="AF9" s="267">
        <f ca="1">_xlfn.SINGLE(WS)+IF(_xlfn.SINGLE(TCW)&gt;=_xlfn.SINGLE(CWA),_xlfn.SINGLE(CWA),_xlfn.SINGLE(TCW))</f>
        <v>1797</v>
      </c>
      <c r="AG9" s="94" t="s">
        <v>145</v>
      </c>
      <c r="AH9" s="95" t="s">
        <v>146</v>
      </c>
      <c r="AI9" s="96" t="s">
        <v>147</v>
      </c>
      <c r="AJ9" s="218"/>
      <c r="AK9" s="273">
        <f>IF(C9="",0,VLOOKUP(AG9,'Look Ups'!$F$3:$G$6,2,0)*VLOOKUP(AH9,'Look Ups'!$I$3:$J$5,2,0)*VLOOKUP(AI9,'Look Ups'!$L$3:$M$7,2,0)*IF(AJ9="",1,VLOOKUP(AJ9,'Look Ups'!$O$3:$P$4,2,0)))</f>
        <v>1</v>
      </c>
      <c r="AL9" s="83">
        <v>10.641</v>
      </c>
      <c r="AM9" s="91">
        <v>10.413</v>
      </c>
      <c r="AN9" s="91">
        <v>3.58</v>
      </c>
      <c r="AO9" s="91">
        <v>0.80900000000000005</v>
      </c>
      <c r="AP9" s="91">
        <v>0.57699999999999996</v>
      </c>
      <c r="AQ9" s="91">
        <v>9.9459999999999997</v>
      </c>
      <c r="AR9" s="91">
        <v>0.13300000000000001</v>
      </c>
      <c r="AS9" s="91">
        <v>3.83</v>
      </c>
      <c r="AT9" s="91">
        <v>0</v>
      </c>
      <c r="AU9" s="91"/>
      <c r="AV9" s="91" t="s">
        <v>148</v>
      </c>
      <c r="AW9" s="97">
        <v>3</v>
      </c>
      <c r="AX9" s="256">
        <f>P+ER</f>
        <v>9.9459999999999997</v>
      </c>
      <c r="AY9" s="256">
        <f>P*0.375*MC</f>
        <v>0</v>
      </c>
      <c r="AZ9" s="275">
        <f>IF(C9="",0,(0.5*(_ML1*LPM)+0.5*(_ML1*HB)+0.66*(P*PR)+0.66*(_ML2*RDM)+0.66*(E*ER))*VLOOKUP(BATT,'Look Ups'!$U$3:$V$4,2,0))</f>
        <v>28.19021304</v>
      </c>
      <c r="BA9" s="98"/>
      <c r="BB9" s="99"/>
      <c r="BC9" s="83">
        <v>10.132999999999999</v>
      </c>
      <c r="BD9" s="91">
        <v>3.37</v>
      </c>
      <c r="BE9" s="91">
        <v>4.1479999999999997</v>
      </c>
      <c r="BF9" s="91">
        <v>0.18099999999999999</v>
      </c>
      <c r="BG9" s="91">
        <v>9.2089999999999996</v>
      </c>
      <c r="BH9" s="91"/>
      <c r="BI9" s="91"/>
      <c r="BJ9" s="91">
        <v>0.113</v>
      </c>
      <c r="BK9" s="91">
        <v>2.1999999999999999E-2</v>
      </c>
      <c r="BL9" s="97"/>
      <c r="BM9" s="275">
        <f>(0.5*LL*LPG)+(0.5*_LG1*HG)+(0.66*LL*LLRG)+(0.66*FG*FRG)+(IF((HG&gt;0),(0.66*_LG2*LRG),(0.66*_LG1*LRG)))</f>
        <v>18.403563459999997</v>
      </c>
      <c r="BN9" s="282"/>
      <c r="BO9" s="283"/>
      <c r="BP9" s="284"/>
      <c r="BQ9" s="284"/>
      <c r="BR9" s="283"/>
      <c r="BS9" s="284"/>
      <c r="BT9" s="284"/>
      <c r="BU9" s="280">
        <f>(0.5*LLS*LPS)+(0.66*LLS*LLRS)+(0.66*LS*LRS)+(0.66*FS*FRS)</f>
        <v>0</v>
      </c>
      <c r="BV9" s="285"/>
      <c r="BW9" s="283"/>
      <c r="BX9" s="283"/>
      <c r="BY9" s="283"/>
      <c r="BZ9" s="283"/>
      <c r="CA9" s="283"/>
      <c r="CB9" s="283"/>
      <c r="CC9" s="275">
        <f>(0.5*LLD*LPD)+(0.66*LLD*LLRD)+(0.66*LCHD*LRD)+(0.66*FD*FRD)</f>
        <v>0</v>
      </c>
      <c r="CD9" s="98">
        <v>8.4</v>
      </c>
      <c r="CE9" s="91">
        <v>12.2</v>
      </c>
      <c r="CF9" s="91">
        <v>11.35</v>
      </c>
      <c r="CG9" s="91">
        <v>7.3</v>
      </c>
      <c r="CH9" s="266">
        <f>IF(SF&gt;0,SMG/SF*100,"")</f>
        <v>86.904761904761898</v>
      </c>
      <c r="CI9" s="283"/>
      <c r="CJ9" s="280">
        <f>SF*(_SL1+_SL2)/4+(SMG-SF/2)*(_SL1+_SL2)/3</f>
        <v>73.789999999999992</v>
      </c>
      <c r="CK9" s="83">
        <v>7.4980000000000002</v>
      </c>
      <c r="CL9" s="91">
        <v>10.875</v>
      </c>
      <c r="CM9" s="91">
        <v>9.8960000000000008</v>
      </c>
      <c r="CN9" s="91">
        <v>3.8050000000000002</v>
      </c>
      <c r="CO9" s="256">
        <f>IF(SCRF&gt;0,SCRMG/SCRF*100,"")</f>
        <v>50.746865830888233</v>
      </c>
      <c r="CP9" s="283"/>
      <c r="CQ9" s="256">
        <f>SCRF*(SCRL1+SCRL2)/4+(SCRMG-SCRF/2)*(SCRL1+SCRL2)/3</f>
        <v>39.322964833333337</v>
      </c>
      <c r="CR9" s="256" t="str">
        <f>IF(CO9&lt;'Look Ups'!$AC$4,"Yes","No")</f>
        <v>Yes</v>
      </c>
      <c r="CS9" s="267">
        <f>IF(CR9="Yes",MIN(150,('Look Ups'!$AC$4-PSCR)/('Look Ups'!$AC$4-'Look Ups'!$AC$3)*100),0)</f>
        <v>25.062683382235353</v>
      </c>
      <c r="CT9" s="83"/>
      <c r="CU9" s="91"/>
      <c r="CV9" s="91"/>
      <c r="CW9" s="91"/>
      <c r="CX9" s="256" t="str">
        <f>IF(USCRF&gt;0,USCRMG/USCRF*100,"")</f>
        <v/>
      </c>
      <c r="CY9" s="293">
        <f>IF(PUSCR&lt;'Look Ups'!$AC$4,MIN(150,('Look Ups'!$AC$4-PUSCR)/('Look Ups'!$AC$4-'Look Ups'!$AC$3)*100),0)</f>
        <v>0</v>
      </c>
      <c r="CZ9" s="275">
        <f>IF(PUSCR&lt;'Look Ups'!$AC$4,USCRF*(USCRL1+USCRL2)/4+(USCRMG-USCRF/2)*(USCRL1+USCRL2)/3,0)</f>
        <v>0</v>
      </c>
      <c r="DA9" s="294">
        <f>IF(ZVAL=1,1,IF(LPM&gt;0,0.64*((AM+MAM)/(E+(MC/2))^2)^0.3,0))</f>
        <v>1</v>
      </c>
      <c r="DB9" s="256">
        <f>0.65*((AM+MAM)*EFM)+0.35*((AM+MAM)*ZVAL)</f>
        <v>28.190213039999996</v>
      </c>
      <c r="DC9" s="256">
        <f>IF(ZVAL=1,1,IF(LPG&gt;0,0.72*(AG/(LPG^2))^0.3,0))</f>
        <v>1</v>
      </c>
      <c r="DD9" s="256">
        <f>AG*EFG</f>
        <v>18.403563459999997</v>
      </c>
      <c r="DE9" s="256">
        <f>IF(AZ9&gt;0,'Look Ups'!$S$3,0)</f>
        <v>1</v>
      </c>
      <c r="DF9" s="256">
        <f>IF(LPS&gt;0,0.72*(AS/(LPS^2))^0.3,0)</f>
        <v>0</v>
      </c>
      <c r="DG9" s="256">
        <f>EFS*AS</f>
        <v>0</v>
      </c>
      <c r="DH9" s="256">
        <f>IF(LPD&gt;0,0.72*(AD/(LPD^2))^0.3,0)</f>
        <v>0</v>
      </c>
      <c r="DI9" s="280">
        <f>IF((AD-AG)&gt;0,0.3*(AD-AG)*EFD,0)</f>
        <v>0</v>
      </c>
      <c r="DJ9" s="295" t="str">
        <f>IF((SCRF=0),"-",IF(AND(MSASC&gt;AG,SCRMG&lt;(0.75*SCRF)),"valid","ERROR"))</f>
        <v>valid</v>
      </c>
      <c r="DK9" s="266" t="str">
        <f>IF((SF=0),"-",IF((SMG&lt;(0.75*SF)),"ERROR",IF(AND(MSASP&gt;MSASC,MSASP&gt;AG,MSASP&gt;=0.36*RSAM),"valid","Small")))</f>
        <v>valid</v>
      </c>
      <c r="DL9" s="267" t="str">
        <f>IF(C9="","",CONCATENATE("MG",IF(FLSCR="valid","Scr",""),IF(FLSPI="valid","SP","")))</f>
        <v>MGScrSP</v>
      </c>
      <c r="DM9" s="294">
        <f>RSAM+RSAG</f>
        <v>46.59377649999999</v>
      </c>
      <c r="DN9" s="256">
        <f>IF(MSASP&gt;0,'Look Ups'!$AI$4*(ZVAL*MSASP-RSAG),0)</f>
        <v>16.615930961999997</v>
      </c>
      <c r="DO9" s="256">
        <f>IF(AND(MSASC&gt;0,(MSASC&gt;=0.36*RSAM)),('Look Ups'!$AI$3*(ZVAL*MSASC-RSAG)),(0))</f>
        <v>7.3217904806666683</v>
      </c>
      <c r="DP9" s="256">
        <f>IF(MSASP&gt;0,'Look Ups'!$AI$5*(ZVAL*MSASP-RSAG),0)</f>
        <v>15.508202231199999</v>
      </c>
      <c r="DQ9" s="256">
        <f>IF(MSASC&gt;0,'Look Ups'!$AI$6*(MSASC-RSAG),0)</f>
        <v>1.464358096133334</v>
      </c>
      <c r="DR9" s="280">
        <f>'Look Ups'!$AI$7*MAX(IF(MSAUSC&gt;0,EUSC/100*(MSAUSC-RSAG),0),IF(CR9="Yes",ELSC/100*(MSASC-RSAG),0))</f>
        <v>1.3107408329143821</v>
      </c>
      <c r="DS9" s="280">
        <f>0.36*RSAM</f>
        <v>10.148476694399998</v>
      </c>
      <c r="DT9" s="296">
        <f>_xlfn.IFS(SPC="MG",RAMG+DS9,SPC="MGScr",RAMG+RASCO,SPC="MGSp",RAMG+RASPO,SPC="MGScrSp",RAMG+RASPSC+RASCR)+RAUSC+RSAST+RSAD+RSAMZ+RSA2M</f>
        <v>64.877077660247707</v>
      </c>
      <c r="DU9" s="63"/>
    </row>
    <row r="10" spans="1:125" ht="15.6" customHeight="1" x14ac:dyDescent="0.3">
      <c r="A10" s="4"/>
      <c r="B10" s="65" t="s">
        <v>1219</v>
      </c>
      <c r="C10" s="65" t="s">
        <v>806</v>
      </c>
      <c r="D10" s="66" t="s">
        <v>277</v>
      </c>
      <c r="E10" s="67" t="s">
        <v>769</v>
      </c>
      <c r="F10" s="252">
        <f ca="1">IF(RW=0,0,ROUND(DLF*0.93*RL^LF*RSA^0.4/RW^0.325,3))</f>
        <v>0.78600000000000003</v>
      </c>
      <c r="G10" s="252" t="str">
        <f ca="1">IF(OR(FLSCR="ERROR",FLSPI="ERROR"),"No",IF(TODAY()-'Look Ups'!$D$4*365&gt;I10,"WP Applied","Yes"))</f>
        <v>Yes</v>
      </c>
      <c r="H10" s="253" t="str">
        <f>IF(SPC="","",CONCATENATE("Main-Genoa",IF(FLSCR="valid",IF(OR(CR10="Yes",MSAUSC&gt;0),"-Screacher (Upwind)","-Screacher"),""),IF(FLSPI="valid","-Spinnaker",""),IF(RSAMZ&gt;0,"-Mizzen",""),IF(RSA2M&gt;0,"-Second Main",""),IF(AS&gt;0,"-Staysail",""),IF(AD&gt;0,"-Drifter","")))</f>
        <v>Main-Genoa-Screacher (Upwind)-Spinnaker</v>
      </c>
      <c r="I10" s="1">
        <v>45601</v>
      </c>
      <c r="J10" s="1">
        <v>45610</v>
      </c>
      <c r="K10" s="87" t="s">
        <v>255</v>
      </c>
      <c r="L10" s="87" t="s">
        <v>164</v>
      </c>
      <c r="M10" s="207"/>
      <c r="N10" s="88" t="s">
        <v>143</v>
      </c>
      <c r="O10" s="88" t="s">
        <v>154</v>
      </c>
      <c r="P10" s="89"/>
      <c r="Q10" s="90">
        <v>7.02</v>
      </c>
      <c r="R10" s="87"/>
      <c r="S10" s="256">
        <f>IF((LOAA&gt;LOA),0.025*LOAA,0.025*LOA)</f>
        <v>0.17549999999999999</v>
      </c>
      <c r="T10" s="117">
        <v>7.0000000000000007E-2</v>
      </c>
      <c r="U10" s="117">
        <v>0.14000000000000001</v>
      </c>
      <c r="V10" s="258">
        <f>IF((_xlfn.SINGLE(LOAA)&gt;_xlfn.SINGLE(LOA)),_xlfn.SINGLE(LOAA),_xlfn.SINGLE(LOA)-_xlfn.SINGLE(FOC)-_xlfn.SINGLE(AOC))</f>
        <v>6.81</v>
      </c>
      <c r="W10" s="259">
        <f>IF(RL&gt;0,IF(RL&gt;'Look Ups'!Y$7,'Look Ups'!Y$8,('Look Ups'!Y$3*RL^3+'Look Ups'!Y$4*RL^2+'Look Ups'!Y$5*RL+'Look Ups'!Y$6)),0)</f>
        <v>0.28879056095300004</v>
      </c>
      <c r="X10" s="92">
        <v>872</v>
      </c>
      <c r="Y10" s="262">
        <f ca="1">IF(WDATE&lt;(TODAY()-'Look Ups'!$D$4*365),-WM*'Look Ups'!$D$5/100,0)</f>
        <v>0</v>
      </c>
      <c r="Z10" s="93"/>
      <c r="AA10" s="93">
        <v>244</v>
      </c>
      <c r="AB10" s="93">
        <v>3</v>
      </c>
      <c r="AC10" s="265">
        <f>WCD+NC*'Look Ups'!$AF$3</f>
        <v>256</v>
      </c>
      <c r="AD10" s="265">
        <f ca="1">IF(RL&lt;'Look Ups'!AM$3,'Look Ups'!AM$4,IF(RL&gt;'Look Ups'!AM$5,'Look Ups'!AM$6,(RL-'Look Ups'!AM$3)/('Look Ups'!AM$5-'Look Ups'!AM$3)*('Look Ups'!AM$6-'Look Ups'!AM$4)+'Look Ups'!AM$4))/100*WS</f>
        <v>258.11200000000002</v>
      </c>
      <c r="AE10" s="266">
        <f ca="1">WM+WP+WE</f>
        <v>872</v>
      </c>
      <c r="AF10" s="267">
        <f ca="1">_xlfn.SINGLE(WS)+IF(_xlfn.SINGLE(TCW)&gt;=_xlfn.SINGLE(CWA),_xlfn.SINGLE(CWA),_xlfn.SINGLE(TCW))</f>
        <v>1128</v>
      </c>
      <c r="AG10" s="94" t="s">
        <v>145</v>
      </c>
      <c r="AH10" s="95" t="s">
        <v>146</v>
      </c>
      <c r="AI10" s="96" t="s">
        <v>147</v>
      </c>
      <c r="AJ10" s="218"/>
      <c r="AK10" s="273">
        <f>IF(C10="",0,VLOOKUP(AG10,'Look Ups'!$F$3:$G$6,2,0)*VLOOKUP(AH10,'Look Ups'!$I$3:$J$5,2,0)*VLOOKUP(AI10,'Look Ups'!$L$3:$M$7,2,0)*IF(AJ10="",1,VLOOKUP(AJ10,'Look Ups'!$O$3:$P$4,2,0)))</f>
        <v>1</v>
      </c>
      <c r="AL10" s="83">
        <v>10.25</v>
      </c>
      <c r="AM10" s="91">
        <v>10.050000000000001</v>
      </c>
      <c r="AN10" s="91">
        <v>2.81</v>
      </c>
      <c r="AO10" s="91">
        <v>1.22</v>
      </c>
      <c r="AP10" s="91">
        <v>0.36</v>
      </c>
      <c r="AQ10" s="91">
        <v>10.01</v>
      </c>
      <c r="AR10" s="91">
        <v>0.06</v>
      </c>
      <c r="AS10" s="91">
        <v>2.96</v>
      </c>
      <c r="AT10" s="91">
        <v>0.04</v>
      </c>
      <c r="AU10" s="91">
        <v>0.41</v>
      </c>
      <c r="AV10" s="91" t="s">
        <v>148</v>
      </c>
      <c r="AW10" s="97"/>
      <c r="AX10" s="256">
        <f>P+ER</f>
        <v>10.049999999999999</v>
      </c>
      <c r="AY10" s="256">
        <f>P*0.375*MC</f>
        <v>1.5390375000000001</v>
      </c>
      <c r="AZ10" s="275">
        <f>IF(C10="",0,(0.5*(_ML1*LPM)+0.5*(_ML1*HB)+0.66*(P*PR)+0.66*(_ML2*RDM)+0.66*(E*ER))*VLOOKUP(BATT,'Look Ups'!$U$3:$V$4,2,0))</f>
        <v>23.516170000000002</v>
      </c>
      <c r="BA10" s="98"/>
      <c r="BB10" s="99"/>
      <c r="BC10" s="83">
        <v>8.8000000000000007</v>
      </c>
      <c r="BD10" s="91">
        <v>2.6850000000000001</v>
      </c>
      <c r="BE10" s="91">
        <v>2.96</v>
      </c>
      <c r="BF10" s="91">
        <v>0.15</v>
      </c>
      <c r="BG10" s="91">
        <v>7.9</v>
      </c>
      <c r="BH10" s="91">
        <v>7.58</v>
      </c>
      <c r="BI10" s="91">
        <v>0.13</v>
      </c>
      <c r="BJ10" s="91">
        <v>2.4E-2</v>
      </c>
      <c r="BK10" s="91">
        <v>2.5000000000000001E-2</v>
      </c>
      <c r="BL10" s="97"/>
      <c r="BM10" s="275">
        <f>(0.5*LL*LPG)+(0.5*_LG1*HG)+(0.66*LL*LLRG)+(0.66*FG*FRG)+(IF((HG&gt;0),(0.66*_LG2*LRG),(0.66*_LG1*LRG)))</f>
        <v>12.885807200000002</v>
      </c>
      <c r="BN10" s="277"/>
      <c r="BO10" s="278"/>
      <c r="BP10" s="279"/>
      <c r="BQ10" s="279"/>
      <c r="BR10" s="278"/>
      <c r="BS10" s="279"/>
      <c r="BT10" s="279"/>
      <c r="BU10" s="280">
        <f>(0.5*LLS*LPS)+(0.66*LLS*LLRS)+(0.66*LS*LRS)+(0.66*FS*FRS)</f>
        <v>0</v>
      </c>
      <c r="BV10" s="322"/>
      <c r="BW10" s="320"/>
      <c r="BX10" s="320"/>
      <c r="BY10" s="320"/>
      <c r="BZ10" s="320"/>
      <c r="CA10" s="320"/>
      <c r="CB10" s="320"/>
      <c r="CC10" s="275">
        <f>(0.5*LLD*LPD)+(0.66*LLD*LLRD)+(0.66*LCHD*LRD)+(0.66*FD*FRD)</f>
        <v>0</v>
      </c>
      <c r="CD10" s="98">
        <v>6.98</v>
      </c>
      <c r="CE10" s="91">
        <v>11.05</v>
      </c>
      <c r="CF10" s="91">
        <v>9.35</v>
      </c>
      <c r="CG10" s="91">
        <v>5.6</v>
      </c>
      <c r="CH10" s="266">
        <f>IF(SF&gt;0,SMG/SF*100,"")</f>
        <v>80.229226361031508</v>
      </c>
      <c r="CI10" s="320"/>
      <c r="CJ10" s="280">
        <f>SF*(_SL1+_SL2)/4+(SMG-SF/2)*(_SL1+_SL2)/3</f>
        <v>49.945999999999991</v>
      </c>
      <c r="CK10" s="83">
        <v>4.7</v>
      </c>
      <c r="CL10" s="91">
        <v>10.47</v>
      </c>
      <c r="CM10" s="91">
        <v>9.33</v>
      </c>
      <c r="CN10" s="91">
        <v>2.4</v>
      </c>
      <c r="CO10" s="256">
        <f>IF(SCRF&gt;0,SCRMG/SCRF*100,"")</f>
        <v>51.063829787234042</v>
      </c>
      <c r="CP10" s="320"/>
      <c r="CQ10" s="256">
        <f>SCRF*(SCRL1+SCRL2)/4+(SCRMG-SCRF/2)*(SCRL1+SCRL2)/3</f>
        <v>23.594999999999999</v>
      </c>
      <c r="CR10" s="256" t="str">
        <f>IF(CO10&lt;'Look Ups'!$AC$4,"Yes","No")</f>
        <v>Yes</v>
      </c>
      <c r="CS10" s="267">
        <f>IF(CR10="Yes",MIN(150,('Look Ups'!$AC$4-PSCR)/('Look Ups'!$AC$4-'Look Ups'!$AC$3)*100),0)</f>
        <v>18.723404255319167</v>
      </c>
      <c r="CT10" s="83"/>
      <c r="CU10" s="91"/>
      <c r="CV10" s="91"/>
      <c r="CW10" s="91"/>
      <c r="CX10" s="256" t="str">
        <f>IF(USCRF&gt;0,USCRMG/USCRF*100,"")</f>
        <v/>
      </c>
      <c r="CY10" s="293">
        <f>IF(PUSCR&lt;'Look Ups'!$AC$4,MIN(150,('Look Ups'!$AC$4-PUSCR)/('Look Ups'!$AC$4-'Look Ups'!$AC$3)*100),0)</f>
        <v>0</v>
      </c>
      <c r="CZ10" s="275">
        <f>IF(PUSCR&lt;'Look Ups'!$AC$4,USCRF*(USCRL1+USCRL2)/4+(USCRMG-USCRF/2)*(USCRL1+USCRL2)/3,0)</f>
        <v>0</v>
      </c>
      <c r="DA10" s="294">
        <f>IF(ZVAL=1,1,IF(LPM&gt;0,0.64*((AM+MAM)/(E+(MC/2))^2)^0.3,0))</f>
        <v>1</v>
      </c>
      <c r="DB10" s="256">
        <f>0.65*((AM+MAM)*EFM)+0.35*((AM+MAM)*ZVAL)</f>
        <v>25.055207500000002</v>
      </c>
      <c r="DC10" s="256">
        <f>IF(ZVAL=1,1,IF(LPG&gt;0,0.72*(AG/(LPG^2))^0.3,0))</f>
        <v>1</v>
      </c>
      <c r="DD10" s="256">
        <f>AG*EFG</f>
        <v>12.885807200000002</v>
      </c>
      <c r="DE10" s="256">
        <f>IF(AZ10&gt;0,'Look Ups'!$S$3,0)</f>
        <v>1</v>
      </c>
      <c r="DF10" s="256">
        <f>IF(LPS&gt;0,0.72*(AS/(LPS^2))^0.3,0)</f>
        <v>0</v>
      </c>
      <c r="DG10" s="256">
        <f>EFS*AS</f>
        <v>0</v>
      </c>
      <c r="DH10" s="256">
        <f>IF(LPD&gt;0,0.72*(AD/(LPD^2))^0.3,0)</f>
        <v>0</v>
      </c>
      <c r="DI10" s="280">
        <f>IF((AD-AG)&gt;0,0.3*(AD-AG)*EFD,0)</f>
        <v>0</v>
      </c>
      <c r="DJ10" s="295" t="str">
        <f>IF((SCRF=0),"-",IF(AND(MSASC&gt;AG,SCRMG&lt;(0.75*SCRF)),"valid","ERROR"))</f>
        <v>valid</v>
      </c>
      <c r="DK10" s="266" t="str">
        <f>IF((SF=0),"-",IF((SMG&lt;(0.75*SF)),"ERROR",IF(AND(MSASP&gt;MSASC,MSASP&gt;AG,MSASP&gt;=0.36*RSAM),"valid","Small")))</f>
        <v>valid</v>
      </c>
      <c r="DL10" s="267" t="str">
        <f>IF(C10="","",CONCATENATE("MG",IF(FLSCR="valid","Scr",""),IF(FLSPI="valid","SP","")))</f>
        <v>MGScrSP</v>
      </c>
      <c r="DM10" s="294">
        <f>RSAM+RSAG</f>
        <v>37.941014700000004</v>
      </c>
      <c r="DN10" s="256">
        <f>IF(MSASP&gt;0,'Look Ups'!$AI$4*(ZVAL*MSASP-RSAG),0)</f>
        <v>11.118057839999997</v>
      </c>
      <c r="DO10" s="256">
        <f>IF(AND(MSASC&gt;0,(MSASC&gt;=0.36*RSAM)),('Look Ups'!$AI$3*(ZVAL*MSASC-RSAG)),(0))</f>
        <v>3.7482174799999988</v>
      </c>
      <c r="DP10" s="256">
        <f>IF(MSASP&gt;0,'Look Ups'!$AI$5*(ZVAL*MSASP-RSAG),0)</f>
        <v>10.376853983999998</v>
      </c>
      <c r="DQ10" s="256">
        <f>IF(MSASC&gt;0,'Look Ups'!$AI$6*(MSASC-RSAG),0)</f>
        <v>0.7496434959999998</v>
      </c>
      <c r="DR10" s="280">
        <f>'Look Ups'!$AI$7*MAX(IF(MSAUSC&gt;0,EUSC/100*(MSAUSC-RSAG),0),IF(CR10="Yes",ELSC/100*(MSASC-RSAG),0))</f>
        <v>0.50128136510638333</v>
      </c>
      <c r="DS10" s="280">
        <f>0.36*RSAM</f>
        <v>9.0198747000000008</v>
      </c>
      <c r="DT10" s="296">
        <f>_xlfn.IFS(SPC="MG",RAMG+DS10,SPC="MGScr",RAMG+RASCO,SPC="MGSp",RAMG+RASPO,SPC="MGScrSp",RAMG+RASPSC+RASCR)+RAUSC+RSAST+RSAD+RSAMZ+RSA2M</f>
        <v>49.568793545106388</v>
      </c>
      <c r="DU10" s="63"/>
    </row>
    <row r="11" spans="1:125" ht="15.6" customHeight="1" x14ac:dyDescent="0.3">
      <c r="A11" s="4"/>
      <c r="B11" s="64" t="s">
        <v>1219</v>
      </c>
      <c r="C11" s="64" t="s">
        <v>410</v>
      </c>
      <c r="D11" s="101" t="s">
        <v>151</v>
      </c>
      <c r="E11" s="86" t="s">
        <v>411</v>
      </c>
      <c r="F11" s="252">
        <f ca="1">IF(RW=0,0,ROUND(DLF*0.93*RL^LF*RSA^0.4/RW^0.325,3))</f>
        <v>0.79200000000000004</v>
      </c>
      <c r="G11" s="252" t="str">
        <f ca="1">IF(OR(FLSCR="ERROR",FLSPI="ERROR"),"No",IF(TODAY()-'Look Ups'!$D$4*365&gt;I11,"WP Applied","Yes"))</f>
        <v>Yes</v>
      </c>
      <c r="H11" s="253" t="str">
        <f>IF(SPC="","",CONCATENATE("Main-Genoa",IF(FLSCR="valid",IF(OR(CR11="Yes",MSAUSC&gt;0),"-Screacher (Upwind)","-Screacher"),""),IF(FLSPI="valid","-Spinnaker",""),IF(RSAMZ&gt;0,"-Mizzen",""),IF(RSA2M&gt;0,"-Second Main",""),IF(AS&gt;0,"-Staysail",""),IF(AD&gt;0,"-Drifter","")))</f>
        <v>Main-Genoa-Spinnaker</v>
      </c>
      <c r="I11" s="1">
        <v>42307</v>
      </c>
      <c r="J11" s="1">
        <v>43140</v>
      </c>
      <c r="K11" s="87" t="s">
        <v>412</v>
      </c>
      <c r="L11" s="87" t="s">
        <v>142</v>
      </c>
      <c r="M11" s="207"/>
      <c r="N11" s="97" t="s">
        <v>143</v>
      </c>
      <c r="O11" s="97" t="s">
        <v>154</v>
      </c>
      <c r="P11" s="102"/>
      <c r="Q11" s="90">
        <v>8.31</v>
      </c>
      <c r="R11" s="87"/>
      <c r="S11" s="256">
        <f>IF((LOAA&gt;LOA),0.025*LOAA,0.025*LOA)</f>
        <v>0.20775000000000002</v>
      </c>
      <c r="T11" s="91">
        <v>0.23</v>
      </c>
      <c r="U11" s="91">
        <v>0</v>
      </c>
      <c r="V11" s="258">
        <f>IF((_xlfn.SINGLE(LOAA)&gt;_xlfn.SINGLE(LOA)),_xlfn.SINGLE(LOAA),_xlfn.SINGLE(LOA)-_xlfn.SINGLE(FOC)-_xlfn.SINGLE(AOC))</f>
        <v>8.08</v>
      </c>
      <c r="W11" s="259">
        <f>IF(RL&gt;0,IF(RL&gt;'Look Ups'!Y$7,'Look Ups'!Y$8,('Look Ups'!Y$3*RL^3+'Look Ups'!Y$4*RL^2+'Look Ups'!Y$5*RL+'Look Ups'!Y$6)),0)</f>
        <v>0.29406700569600003</v>
      </c>
      <c r="X11" s="92">
        <v>1290</v>
      </c>
      <c r="Y11" s="262">
        <f ca="1">IF(WDATE&lt;(TODAY()-'Look Ups'!$D$4*365),-WM*'Look Ups'!$D$5/100,0)</f>
        <v>0</v>
      </c>
      <c r="Z11" s="93">
        <v>40</v>
      </c>
      <c r="AA11" s="93">
        <v>295</v>
      </c>
      <c r="AB11" s="75">
        <v>3</v>
      </c>
      <c r="AC11" s="265">
        <f>WCD+NC*'Look Ups'!$AF$3</f>
        <v>307</v>
      </c>
      <c r="AD11" s="265">
        <f ca="1">IF(RL&lt;'Look Ups'!AM$3,'Look Ups'!AM$4,IF(RL&gt;'Look Ups'!AM$5,'Look Ups'!AM$6,(RL-'Look Ups'!AM$3)/('Look Ups'!AM$5-'Look Ups'!AM$3)*('Look Ups'!AM$6-'Look Ups'!AM$4)+'Look Ups'!AM$4))/100*WS</f>
        <v>332.25818181818181</v>
      </c>
      <c r="AE11" s="266">
        <f ca="1">WM+WP+WE</f>
        <v>1330</v>
      </c>
      <c r="AF11" s="267">
        <f ca="1">_xlfn.SINGLE(WS)+IF(_xlfn.SINGLE(TCW)&gt;=_xlfn.SINGLE(CWA),_xlfn.SINGLE(CWA),_xlfn.SINGLE(TCW))</f>
        <v>1637</v>
      </c>
      <c r="AG11" s="94" t="s">
        <v>145</v>
      </c>
      <c r="AH11" s="95" t="s">
        <v>146</v>
      </c>
      <c r="AI11" s="96" t="s">
        <v>147</v>
      </c>
      <c r="AJ11" s="218"/>
      <c r="AK11" s="273">
        <f>IF(C11="",0,VLOOKUP(AG11,'Look Ups'!$F$3:$G$6,2,0)*VLOOKUP(AH11,'Look Ups'!$I$3:$J$5,2,0)*VLOOKUP(AI11,'Look Ups'!$L$3:$M$7,2,0)*IF(AJ11="",1,VLOOKUP(AJ11,'Look Ups'!$O$3:$P$4,2,0)))</f>
        <v>1</v>
      </c>
      <c r="AL11" s="83">
        <v>10.94</v>
      </c>
      <c r="AM11" s="91">
        <v>10.74</v>
      </c>
      <c r="AN11" s="91">
        <v>3.3</v>
      </c>
      <c r="AO11" s="91">
        <v>1.01</v>
      </c>
      <c r="AP11" s="91">
        <v>0.38</v>
      </c>
      <c r="AQ11" s="91">
        <v>10.55</v>
      </c>
      <c r="AR11" s="91">
        <v>0.15</v>
      </c>
      <c r="AS11" s="91">
        <v>3.52</v>
      </c>
      <c r="AT11" s="91">
        <v>0</v>
      </c>
      <c r="AU11" s="91">
        <v>0.46</v>
      </c>
      <c r="AV11" s="91" t="s">
        <v>148</v>
      </c>
      <c r="AW11" s="97">
        <v>0</v>
      </c>
      <c r="AX11" s="256">
        <f>P+ER</f>
        <v>10.55</v>
      </c>
      <c r="AY11" s="256">
        <f>P*0.375*MC</f>
        <v>1.8198750000000001</v>
      </c>
      <c r="AZ11" s="275">
        <f>IF(C11="",0,(0.5*(_ML1*LPM)+0.5*(_ML1*HB)+0.66*(P*PR)+0.66*(_ML2*RDM)+0.66*(E*ER))*VLOOKUP(BATT,'Look Ups'!$U$3:$V$4,2,0))</f>
        <v>27.313741999999998</v>
      </c>
      <c r="BA11" s="98"/>
      <c r="BB11" s="99"/>
      <c r="BC11" s="83">
        <v>8.9</v>
      </c>
      <c r="BD11" s="91">
        <v>2.99</v>
      </c>
      <c r="BE11" s="91">
        <v>3.47</v>
      </c>
      <c r="BF11" s="91">
        <v>0.155</v>
      </c>
      <c r="BG11" s="91">
        <v>7.76</v>
      </c>
      <c r="BH11" s="91"/>
      <c r="BI11" s="91"/>
      <c r="BJ11" s="91">
        <v>0.14499999999999999</v>
      </c>
      <c r="BK11" s="91">
        <v>0.04</v>
      </c>
      <c r="BL11" s="97"/>
      <c r="BM11" s="275">
        <f>(0.5*LL*LPG)+(0.5*_LG1*HG)+(0.66*LL*LLRG)+(0.66*FG*FRG)+(IF((HG&gt;0),(0.66*_LG2*LRG),(0.66*_LG1*LRG)))</f>
        <v>14.638073000000002</v>
      </c>
      <c r="BN11" s="282"/>
      <c r="BO11" s="283"/>
      <c r="BP11" s="284"/>
      <c r="BQ11" s="284"/>
      <c r="BR11" s="283"/>
      <c r="BS11" s="284"/>
      <c r="BT11" s="284"/>
      <c r="BU11" s="280">
        <f>(0.5*LLS*LPS)+(0.66*LLS*LLRS)+(0.66*LS*LRS)+(0.66*FS*FRS)</f>
        <v>0</v>
      </c>
      <c r="BV11" s="285"/>
      <c r="BW11" s="283"/>
      <c r="BX11" s="283"/>
      <c r="BY11" s="283"/>
      <c r="BZ11" s="283"/>
      <c r="CA11" s="283"/>
      <c r="CB11" s="283"/>
      <c r="CC11" s="275">
        <f>(0.5*LLD*LPD)+(0.66*LLD*LLRD)+(0.66*LCHD*LRD)+(0.66*FD*FRD)</f>
        <v>0</v>
      </c>
      <c r="CD11" s="98">
        <v>7.4</v>
      </c>
      <c r="CE11" s="91">
        <v>11.8</v>
      </c>
      <c r="CF11" s="91">
        <v>10.28</v>
      </c>
      <c r="CG11" s="91">
        <v>6.96</v>
      </c>
      <c r="CH11" s="266">
        <f>IF(SF&gt;0,SMG/SF*100,"")</f>
        <v>94.054054054054049</v>
      </c>
      <c r="CI11" s="286"/>
      <c r="CJ11" s="280">
        <f>SF*(_SL1+_SL2)/4+(SMG-SF/2)*(_SL1+_SL2)/3</f>
        <v>64.8416</v>
      </c>
      <c r="CK11" s="83"/>
      <c r="CL11" s="91"/>
      <c r="CM11" s="91"/>
      <c r="CN11" s="91"/>
      <c r="CO11" s="256" t="str">
        <f>IF(SCRF&gt;0,SCRMG/SCRF*100,"")</f>
        <v/>
      </c>
      <c r="CP11" s="286"/>
      <c r="CQ11" s="256">
        <f>SCRF*(SCRL1+SCRL2)/4+(SCRMG-SCRF/2)*(SCRL1+SCRL2)/3</f>
        <v>0</v>
      </c>
      <c r="CR11" s="256" t="str">
        <f>IF(CO11&lt;'Look Ups'!$AC$4,"Yes","No")</f>
        <v>No</v>
      </c>
      <c r="CS11" s="267">
        <f>IF(CR11="Yes",MIN(150,('Look Ups'!$AC$4-PSCR)/('Look Ups'!$AC$4-'Look Ups'!$AC$3)*100),0)</f>
        <v>0</v>
      </c>
      <c r="CT11" s="83"/>
      <c r="CU11" s="91"/>
      <c r="CV11" s="91"/>
      <c r="CW11" s="91"/>
      <c r="CX11" s="256" t="str">
        <f>IF(USCRF&gt;0,USCRMG/USCRF*100,"")</f>
        <v/>
      </c>
      <c r="CY11" s="293">
        <f>IF(PUSCR&lt;'Look Ups'!$AC$4,MIN(150,('Look Ups'!$AC$4-PUSCR)/('Look Ups'!$AC$4-'Look Ups'!$AC$3)*100),0)</f>
        <v>0</v>
      </c>
      <c r="CZ11" s="275">
        <f>IF(PUSCR&lt;'Look Ups'!$AC$4,USCRF*(USCRL1+USCRL2)/4+(USCRMG-USCRF/2)*(USCRL1+USCRL2)/3,0)</f>
        <v>0</v>
      </c>
      <c r="DA11" s="294">
        <f>IF(ZVAL=1,1,IF(LPM&gt;0,0.64*((AM+MAM)/(E+(MC/2))^2)^0.3,0))</f>
        <v>1</v>
      </c>
      <c r="DB11" s="256">
        <f>0.65*((AM+MAM)*EFM)+0.35*((AM+MAM)*ZVAL)</f>
        <v>29.133616999999994</v>
      </c>
      <c r="DC11" s="256">
        <f>IF(ZVAL=1,1,IF(LPG&gt;0,0.72*(AG/(LPG^2))^0.3,0))</f>
        <v>1</v>
      </c>
      <c r="DD11" s="256">
        <f>AG*EFG</f>
        <v>14.638073000000002</v>
      </c>
      <c r="DE11" s="256">
        <f>IF(AZ11&gt;0,'Look Ups'!$S$3,0)</f>
        <v>1</v>
      </c>
      <c r="DF11" s="256">
        <f>IF(LPS&gt;0,0.72*(AS/(LPS^2))^0.3,0)</f>
        <v>0</v>
      </c>
      <c r="DG11" s="256">
        <f>EFS*AS</f>
        <v>0</v>
      </c>
      <c r="DH11" s="256">
        <f>IF(LPD&gt;0,0.72*(AD/(LPD^2))^0.3,0)</f>
        <v>0</v>
      </c>
      <c r="DI11" s="280">
        <f>IF((AD-AG)&gt;0,0.3*(AD-AG)*EFD,0)</f>
        <v>0</v>
      </c>
      <c r="DJ11" s="295" t="str">
        <f>IF((SCRF=0),"-",IF(AND(MSASC&gt;AG,SCRMG&lt;(0.75*SCRF)),"valid","ERROR"))</f>
        <v>-</v>
      </c>
      <c r="DK11" s="266" t="str">
        <f>IF((SF=0),"-",IF((SMG&lt;(0.75*SF)),"ERROR",IF(AND(MSASP&gt;MSASC,MSASP&gt;AG,MSASP&gt;=0.36*RSAM),"valid","Small")))</f>
        <v>valid</v>
      </c>
      <c r="DL11" s="267" t="str">
        <f>IF(C11="","",CONCATENATE("MG",IF(FLSCR="valid","Scr",""),IF(FLSPI="valid","SP","")))</f>
        <v>MGSP</v>
      </c>
      <c r="DM11" s="294">
        <f>RSAM+RSAG</f>
        <v>43.771689999999992</v>
      </c>
      <c r="DN11" s="256">
        <f>IF(MSASP&gt;0,'Look Ups'!$AI$4*(ZVAL*MSASP-RSAG),0)</f>
        <v>15.061058099999997</v>
      </c>
      <c r="DO11" s="256">
        <f>IF(AND(MSASC&gt;0,(MSASC&gt;=0.36*RSAM)),('Look Ups'!$AI$3*(ZVAL*MSASC-RSAG)),(0))</f>
        <v>0</v>
      </c>
      <c r="DP11" s="256">
        <f>IF(MSASP&gt;0,'Look Ups'!$AI$5*(ZVAL*MSASP-RSAG),0)</f>
        <v>14.05698756</v>
      </c>
      <c r="DQ11" s="256">
        <f>IF(MSASC&gt;0,'Look Ups'!$AI$6*(MSASC-RSAG),0)</f>
        <v>0</v>
      </c>
      <c r="DR11" s="280">
        <f>'Look Ups'!$AI$7*MAX(IF(MSAUSC&gt;0,EUSC/100*(MSAUSC-RSAG),0),IF(CR11="Yes",ELSC/100*(MSASC-RSAG),0))</f>
        <v>0</v>
      </c>
      <c r="DS11" s="280">
        <f>0.36*RSAM</f>
        <v>10.488102119999997</v>
      </c>
      <c r="DT11" s="296">
        <f>_xlfn.IFS(SPC="MG",RAMG+DS11,SPC="MGScr",RAMG+RASCO,SPC="MGSp",RAMG+RASPO,SPC="MGScrSp",RAMG+RASPSC+RASCR)+RAUSC+RSAST+RSAD+RSAMZ+RSA2M</f>
        <v>58.832748099999989</v>
      </c>
      <c r="DU11" s="63"/>
    </row>
    <row r="12" spans="1:125" ht="15.6" customHeight="1" x14ac:dyDescent="0.3">
      <c r="A12" s="4"/>
      <c r="B12" s="64" t="s">
        <v>1219</v>
      </c>
      <c r="C12" s="64" t="s">
        <v>426</v>
      </c>
      <c r="D12" s="101" t="s">
        <v>427</v>
      </c>
      <c r="E12" s="86" t="s">
        <v>428</v>
      </c>
      <c r="F12" s="252">
        <f ca="1">IF(RW=0,0,ROUND(DLF*0.93*RL^LF*RSA^0.4/RW^0.325,3))</f>
        <v>0.95799999999999996</v>
      </c>
      <c r="G12" s="252" t="str">
        <f ca="1">IF(OR(FLSCR="ERROR",FLSPI="ERROR"),"No",IF(TODAY()-'Look Ups'!$D$4*365&gt;I12,"WP Applied","Yes"))</f>
        <v>Yes</v>
      </c>
      <c r="H12" s="253" t="str">
        <f>IF(SPC="","",CONCATENATE("Main-Genoa",IF(FLSCR="valid",IF(OR(CR12="Yes",MSAUSC&gt;0),"-Screacher (Upwind)","-Screacher"),""),IF(FLSPI="valid","-Spinnaker",""),IF(RSAMZ&gt;0,"-Mizzen",""),IF(RSA2M&gt;0,"-Second Main",""),IF(AS&gt;0,"-Staysail",""),IF(AD&gt;0,"-Drifter","")))</f>
        <v>Main-Genoa-Screacher-Spinnaker</v>
      </c>
      <c r="I12" s="1">
        <v>44551</v>
      </c>
      <c r="J12" s="1">
        <v>45732</v>
      </c>
      <c r="K12" s="87" t="s">
        <v>206</v>
      </c>
      <c r="L12" s="87" t="s">
        <v>176</v>
      </c>
      <c r="M12" s="207"/>
      <c r="N12" s="97" t="s">
        <v>143</v>
      </c>
      <c r="O12" s="97" t="s">
        <v>144</v>
      </c>
      <c r="P12" s="102"/>
      <c r="Q12" s="90">
        <v>9.32</v>
      </c>
      <c r="R12" s="87"/>
      <c r="S12" s="256">
        <f>IF((LOAA&gt;LOA),0.025*LOAA,0.025*LOA)</f>
        <v>0.23300000000000001</v>
      </c>
      <c r="T12" s="91">
        <v>0.05</v>
      </c>
      <c r="U12" s="91"/>
      <c r="V12" s="258">
        <f>IF((_xlfn.SINGLE(LOAA)&gt;_xlfn.SINGLE(LOA)),_xlfn.SINGLE(LOAA),_xlfn.SINGLE(LOA)-_xlfn.SINGLE(FOC)-_xlfn.SINGLE(AOC))</f>
        <v>9.27</v>
      </c>
      <c r="W12" s="259">
        <f>IF(RL&gt;0,IF(RL&gt;'Look Ups'!Y$7,'Look Ups'!Y$8,('Look Ups'!Y$3*RL^3+'Look Ups'!Y$4*RL^2+'Look Ups'!Y$5*RL+'Look Ups'!Y$6)),0)</f>
        <v>0.29724667343900002</v>
      </c>
      <c r="X12" s="92">
        <v>1555</v>
      </c>
      <c r="Y12" s="262">
        <f ca="1">IF(WDATE&lt;(TODAY()-'Look Ups'!$D$4*365),-WM*'Look Ups'!$D$5/100,0)</f>
        <v>0</v>
      </c>
      <c r="Z12" s="93"/>
      <c r="AA12" s="225">
        <v>215</v>
      </c>
      <c r="AB12" s="231">
        <v>3</v>
      </c>
      <c r="AC12" s="270">
        <f>WCD+NC*'Look Ups'!$AF$3</f>
        <v>227</v>
      </c>
      <c r="AD12" s="265">
        <f ca="1">IF(RL&lt;'Look Ups'!AM$3,'Look Ups'!AM$4,IF(RL&gt;'Look Ups'!AM$5,'Look Ups'!AM$6,(RL-'Look Ups'!AM$3)/('Look Ups'!AM$5-'Look Ups'!AM$3)*('Look Ups'!AM$6-'Look Ups'!AM$4)+'Look Ups'!AM$4))/100*WS</f>
        <v>321.17818181818183</v>
      </c>
      <c r="AE12" s="266">
        <f ca="1">WM+WP+WE</f>
        <v>1555</v>
      </c>
      <c r="AF12" s="267">
        <f ca="1">_xlfn.SINGLE(WS)+IF(_xlfn.SINGLE(TCW)&gt;=_xlfn.SINGLE(CWA),_xlfn.SINGLE(CWA),_xlfn.SINGLE(TCW))</f>
        <v>1782</v>
      </c>
      <c r="AG12" s="94" t="s">
        <v>145</v>
      </c>
      <c r="AH12" s="95" t="s">
        <v>146</v>
      </c>
      <c r="AI12" s="96" t="s">
        <v>147</v>
      </c>
      <c r="AJ12" s="218"/>
      <c r="AK12" s="273">
        <f>IF(C12="",0,VLOOKUP(AG12,'Look Ups'!$F$3:$G$6,2,0)*VLOOKUP(AH12,'Look Ups'!$I$3:$J$5,2,0)*VLOOKUP(AI12,'Look Ups'!$L$3:$M$7,2,0)*IF(AJ12="",1,VLOOKUP(AJ12,'Look Ups'!$O$3:$P$4,2,0)))</f>
        <v>1</v>
      </c>
      <c r="AL12" s="83">
        <v>12.68</v>
      </c>
      <c r="AM12" s="91">
        <v>12.17</v>
      </c>
      <c r="AN12" s="91">
        <v>3.5339999999999998</v>
      </c>
      <c r="AO12" s="91">
        <v>1.3</v>
      </c>
      <c r="AP12" s="91">
        <v>0.91</v>
      </c>
      <c r="AQ12" s="91">
        <v>12.72</v>
      </c>
      <c r="AR12" s="91">
        <v>0.3</v>
      </c>
      <c r="AS12" s="91">
        <v>3.585</v>
      </c>
      <c r="AT12" s="91">
        <v>0.05</v>
      </c>
      <c r="AU12" s="91"/>
      <c r="AV12" s="91" t="s">
        <v>148</v>
      </c>
      <c r="AW12" s="97"/>
      <c r="AX12" s="256">
        <f>P+ER</f>
        <v>12.770000000000001</v>
      </c>
      <c r="AY12" s="256">
        <f>P*0.375*MC</f>
        <v>0</v>
      </c>
      <c r="AZ12" s="275">
        <f>IF(C12="",0,(0.5*(_ML1*LPM)+0.5*(_ML1*HB)+0.66*(P*PR)+0.66*(_ML2*RDM)+0.66*(E*ER))*VLOOKUP(BATT,'Look Ups'!$U$3:$V$4,2,0))</f>
        <v>40.593727000000001</v>
      </c>
      <c r="BA12" s="98"/>
      <c r="BB12" s="99"/>
      <c r="BC12" s="83">
        <v>11.93</v>
      </c>
      <c r="BD12" s="91">
        <v>3.9</v>
      </c>
      <c r="BE12" s="91">
        <v>4.42</v>
      </c>
      <c r="BF12" s="91">
        <v>0.12</v>
      </c>
      <c r="BG12" s="91">
        <v>10.43</v>
      </c>
      <c r="BH12" s="91"/>
      <c r="BI12" s="91"/>
      <c r="BJ12" s="91">
        <v>-0.05</v>
      </c>
      <c r="BK12" s="91"/>
      <c r="BL12" s="97"/>
      <c r="BM12" s="275">
        <f>(0.5*LL*LPG)+(0.5*_LG1*HG)+(0.66*LL*LLRG)+(0.66*FG*FRG)+(IF((HG&gt;0),(0.66*_LG2*LRG),(0.66*_LG1*LRG)))</f>
        <v>23.269373999999999</v>
      </c>
      <c r="BN12" s="282"/>
      <c r="BO12" s="283"/>
      <c r="BP12" s="284"/>
      <c r="BQ12" s="284"/>
      <c r="BR12" s="283"/>
      <c r="BS12" s="284"/>
      <c r="BT12" s="284"/>
      <c r="BU12" s="280">
        <f>(0.5*LLS*LPS)+(0.66*LLS*LLRS)+(0.66*LS*LRS)+(0.66*FS*FRS)</f>
        <v>0</v>
      </c>
      <c r="BV12" s="285"/>
      <c r="BW12" s="283"/>
      <c r="BX12" s="283"/>
      <c r="BY12" s="283"/>
      <c r="BZ12" s="283"/>
      <c r="CA12" s="283"/>
      <c r="CB12" s="283"/>
      <c r="CC12" s="275">
        <f>(0.5*LLD*LPD)+(0.66*LLD*LLRD)+(0.66*LCHD*LRD)+(0.66*FD*FRD)</f>
        <v>0</v>
      </c>
      <c r="CD12" s="374">
        <v>9</v>
      </c>
      <c r="CE12" s="375">
        <v>13.85</v>
      </c>
      <c r="CF12" s="375">
        <v>15.75</v>
      </c>
      <c r="CG12" s="375">
        <v>8.4</v>
      </c>
      <c r="CH12" s="266">
        <f>IF(SF&gt;0,SMG/SF*100,"")</f>
        <v>93.333333333333329</v>
      </c>
      <c r="CI12" s="286"/>
      <c r="CJ12" s="280">
        <f>SF*(_SL1+_SL2)/4+(SMG-SF/2)*(_SL1+_SL2)/3</f>
        <v>105.08000000000001</v>
      </c>
      <c r="CK12" s="383">
        <v>8.65</v>
      </c>
      <c r="CL12" s="384">
        <v>14.95</v>
      </c>
      <c r="CM12" s="384">
        <v>13.7</v>
      </c>
      <c r="CN12" s="384">
        <v>5.31</v>
      </c>
      <c r="CO12" s="256">
        <f>IF(SCRF&gt;0,SCRMG/SCRF*100,"")</f>
        <v>61.387283236994215</v>
      </c>
      <c r="CP12" s="286"/>
      <c r="CQ12" s="256">
        <f>SCRF*(SCRL1+SCRL2)/4+(SCRMG-SCRF/2)*(SCRL1+SCRL2)/3</f>
        <v>71.362374999999986</v>
      </c>
      <c r="CR12" s="256" t="str">
        <f>IF(CO12&lt;'Look Ups'!$AC$4,"Yes","No")</f>
        <v>No</v>
      </c>
      <c r="CS12" s="267">
        <f>IF(CR12="Yes",MIN(150,('Look Ups'!$AC$4-PSCR)/('Look Ups'!$AC$4-'Look Ups'!$AC$3)*100),0)</f>
        <v>0</v>
      </c>
      <c r="CT12" s="83"/>
      <c r="CU12" s="91"/>
      <c r="CV12" s="91"/>
      <c r="CW12" s="91"/>
      <c r="CX12" s="256" t="str">
        <f>IF(USCRF&gt;0,USCRMG/USCRF*100,"")</f>
        <v/>
      </c>
      <c r="CY12" s="293">
        <f>IF(PUSCR&lt;'Look Ups'!$AC$4,MIN(150,('Look Ups'!$AC$4-PUSCR)/('Look Ups'!$AC$4-'Look Ups'!$AC$3)*100),0)</f>
        <v>0</v>
      </c>
      <c r="CZ12" s="275">
        <f>IF(PUSCR&lt;'Look Ups'!$AC$4,USCRF*(USCRL1+USCRL2)/4+(USCRMG-USCRF/2)*(USCRL1+USCRL2)/3,0)</f>
        <v>0</v>
      </c>
      <c r="DA12" s="294">
        <f>IF(ZVAL=1,1,IF(LPM&gt;0,0.64*((AM+MAM)/(E+(MC/2))^2)^0.3,0))</f>
        <v>1</v>
      </c>
      <c r="DB12" s="256">
        <f>0.65*((AM+MAM)*EFM)+0.35*((AM+MAM)*ZVAL)</f>
        <v>40.593727000000001</v>
      </c>
      <c r="DC12" s="256">
        <f>IF(ZVAL=1,1,IF(LPG&gt;0,0.72*(AG/(LPG^2))^0.3,0))</f>
        <v>1</v>
      </c>
      <c r="DD12" s="256">
        <f>AG*EFG</f>
        <v>23.269373999999999</v>
      </c>
      <c r="DE12" s="256">
        <f>IF(AZ12&gt;0,'Look Ups'!$S$3,0)</f>
        <v>1</v>
      </c>
      <c r="DF12" s="256">
        <f>IF(LPS&gt;0,0.72*(AS/(LPS^2))^0.3,0)</f>
        <v>0</v>
      </c>
      <c r="DG12" s="256">
        <f>EFS*AS</f>
        <v>0</v>
      </c>
      <c r="DH12" s="256">
        <f>IF(LPD&gt;0,0.72*(AD/(LPD^2))^0.3,0)</f>
        <v>0</v>
      </c>
      <c r="DI12" s="280">
        <f>IF((AD-AG)&gt;0,0.3*(AD-AG)*EFD,0)</f>
        <v>0</v>
      </c>
      <c r="DJ12" s="295" t="str">
        <f>IF((SCRF=0),"-",IF(AND(MSASC&gt;AG,SCRMG&lt;(0.75*SCRF)),"valid","ERROR"))</f>
        <v>valid</v>
      </c>
      <c r="DK12" s="266" t="str">
        <f>IF((SF=0),"-",IF((SMG&lt;(0.75*SF)),"ERROR",IF(AND(MSASP&gt;MSASC,MSASP&gt;AG,MSASP&gt;=0.36*RSAM),"valid","Small")))</f>
        <v>valid</v>
      </c>
      <c r="DL12" s="267" t="str">
        <f>IF(C12="","",CONCATENATE("MG",IF(FLSCR="valid","Scr",""),IF(FLSPI="valid","SP","")))</f>
        <v>MGScrSP</v>
      </c>
      <c r="DM12" s="294">
        <f>RSAM+RSAG</f>
        <v>63.863101</v>
      </c>
      <c r="DN12" s="256">
        <f>IF(MSASP&gt;0,'Look Ups'!$AI$4*(ZVAL*MSASP-RSAG),0)</f>
        <v>24.543187800000002</v>
      </c>
      <c r="DO12" s="256">
        <f>IF(AND(MSASC&gt;0,(MSASC&gt;=0.36*RSAM)),('Look Ups'!$AI$3*(ZVAL*MSASC-RSAG)),(0))</f>
        <v>16.832550349999995</v>
      </c>
      <c r="DP12" s="256">
        <f>IF(MSASP&gt;0,'Look Ups'!$AI$5*(ZVAL*MSASP-RSAG),0)</f>
        <v>22.906975280000005</v>
      </c>
      <c r="DQ12" s="256">
        <f>IF(MSASC&gt;0,'Look Ups'!$AI$6*(MSASC-RSAG),0)</f>
        <v>3.3665100699999995</v>
      </c>
      <c r="DR12" s="280">
        <f>'Look Ups'!$AI$7*MAX(IF(MSAUSC&gt;0,EUSC/100*(MSAUSC-RSAG),0),IF(CR12="Yes",ELSC/100*(MSASC-RSAG),0))</f>
        <v>0</v>
      </c>
      <c r="DS12" s="280">
        <f>0.36*RSAM</f>
        <v>14.61374172</v>
      </c>
      <c r="DT12" s="296">
        <f>_xlfn.IFS(SPC="MG",RAMG+DS12,SPC="MGScr",RAMG+RASCO,SPC="MGSp",RAMG+RASPO,SPC="MGScrSp",RAMG+RASPSC+RASCR)+RAUSC+RSAST+RSAD+RSAMZ+RSA2M</f>
        <v>90.136586350000016</v>
      </c>
      <c r="DU12" s="63"/>
    </row>
    <row r="13" spans="1:125" ht="15.6" customHeight="1" x14ac:dyDescent="0.3">
      <c r="A13" s="4"/>
      <c r="B13" s="64" t="s">
        <v>1219</v>
      </c>
      <c r="C13" s="64" t="s">
        <v>513</v>
      </c>
      <c r="D13" s="85" t="s">
        <v>514</v>
      </c>
      <c r="E13" s="86" t="s">
        <v>515</v>
      </c>
      <c r="F13" s="252">
        <f ca="1">IF(RW=0,0,ROUND(DLF*0.93*RL^LF*RSA^0.4/RW^0.325,3))</f>
        <v>0.86399999999999999</v>
      </c>
      <c r="G13" s="252" t="str">
        <f ca="1">IF(OR(FLSCR="ERROR",FLSPI="ERROR"),"No",IF(TODAY()-'Look Ups'!$D$4*365&gt;I13,"WP Applied","Yes"))</f>
        <v>Yes</v>
      </c>
      <c r="H13" s="253" t="str">
        <f>IF(SPC="","",CONCATENATE("Main-Genoa",IF(FLSCR="valid",IF(OR(CR13="Yes",MSAUSC&gt;0),"-Screacher (Upwind)","-Screacher"),""),IF(FLSPI="valid","-Spinnaker",""),IF(RSAMZ&gt;0,"-Mizzen",""),IF(RSA2M&gt;0,"-Second Main",""),IF(AS&gt;0,"-Staysail",""),IF(AD&gt;0,"-Drifter","")))</f>
        <v>Main-Genoa-Screacher-Spinnaker</v>
      </c>
      <c r="I13" s="1">
        <v>45146</v>
      </c>
      <c r="J13" s="1">
        <v>45716</v>
      </c>
      <c r="K13" s="87" t="s">
        <v>1133</v>
      </c>
      <c r="L13" s="87" t="s">
        <v>164</v>
      </c>
      <c r="M13" s="207"/>
      <c r="N13" s="88" t="s">
        <v>143</v>
      </c>
      <c r="O13" s="88" t="s">
        <v>154</v>
      </c>
      <c r="P13" s="100"/>
      <c r="Q13" s="90">
        <v>9.4499999999999993</v>
      </c>
      <c r="R13" s="87"/>
      <c r="S13" s="256">
        <f>IF((LOAA&gt;LOA),0.025*LOAA,0.025*LOA)</f>
        <v>0.23624999999999999</v>
      </c>
      <c r="T13" s="91">
        <v>0</v>
      </c>
      <c r="U13" s="91">
        <v>0</v>
      </c>
      <c r="V13" s="258">
        <f>IF((_xlfn.SINGLE(LOAA)&gt;_xlfn.SINGLE(LOA)),_xlfn.SINGLE(LOAA),_xlfn.SINGLE(LOA)-_xlfn.SINGLE(FOC)-_xlfn.SINGLE(AOC))</f>
        <v>9.4499999999999993</v>
      </c>
      <c r="W13" s="259">
        <f>IF(RL&gt;0,IF(RL&gt;'Look Ups'!Y$7,'Look Ups'!Y$8,('Look Ups'!Y$3*RL^3+'Look Ups'!Y$4*RL^2+'Look Ups'!Y$5*RL+'Look Ups'!Y$6)),0)</f>
        <v>0.29760048462499999</v>
      </c>
      <c r="X13" s="92">
        <v>1920</v>
      </c>
      <c r="Y13" s="262">
        <f ca="1">IF(WDATE&lt;(TODAY()-'Look Ups'!$D$4*365),-WM*'Look Ups'!$D$5/100,0)</f>
        <v>0</v>
      </c>
      <c r="Z13" s="93"/>
      <c r="AA13" s="393">
        <v>365</v>
      </c>
      <c r="AB13" s="393">
        <v>4</v>
      </c>
      <c r="AC13" s="268">
        <f>WCD+NC*'Look Ups'!$AF$3</f>
        <v>381</v>
      </c>
      <c r="AD13" s="268">
        <f ca="1">IF(RL&lt;'Look Ups'!AM$3,'Look Ups'!AM$4,IF(RL&gt;'Look Ups'!AM$5,'Look Ups'!AM$6,(RL-'Look Ups'!AM$3)/('Look Ups'!AM$5-'Look Ups'!AM$3)*('Look Ups'!AM$6-'Look Ups'!AM$4)+'Look Ups'!AM$4))/100*WS</f>
        <v>384</v>
      </c>
      <c r="AE13" s="266">
        <f ca="1">WM+WP+WE</f>
        <v>1920</v>
      </c>
      <c r="AF13" s="267">
        <f ca="1">_xlfn.SINGLE(WS)+IF(_xlfn.SINGLE(TCW)&gt;=_xlfn.SINGLE(CWA),_xlfn.SINGLE(CWA),_xlfn.SINGLE(TCW))</f>
        <v>2301</v>
      </c>
      <c r="AG13" s="94" t="s">
        <v>145</v>
      </c>
      <c r="AH13" s="95" t="s">
        <v>146</v>
      </c>
      <c r="AI13" s="96" t="s">
        <v>147</v>
      </c>
      <c r="AJ13" s="218"/>
      <c r="AK13" s="273">
        <f>IF(C13="",0,VLOOKUP(AG13,'Look Ups'!$F$3:$G$6,2,0)*VLOOKUP(AH13,'Look Ups'!$I$3:$J$5,2,0)*VLOOKUP(AI13,'Look Ups'!$L$3:$M$7,2,0)*IF(AJ13="",1,VLOOKUP(AJ13,'Look Ups'!$O$3:$P$4,2,0)))</f>
        <v>1</v>
      </c>
      <c r="AL13" s="83">
        <v>14.45</v>
      </c>
      <c r="AM13" s="91">
        <v>14.064</v>
      </c>
      <c r="AN13" s="91">
        <v>3.9188000000000001</v>
      </c>
      <c r="AO13" s="91">
        <v>1.9337</v>
      </c>
      <c r="AP13" s="91">
        <v>0.18</v>
      </c>
      <c r="AQ13" s="91">
        <v>13.75</v>
      </c>
      <c r="AR13" s="91">
        <v>4.4999999999999998E-2</v>
      </c>
      <c r="AS13" s="91">
        <v>4.0989000000000004</v>
      </c>
      <c r="AT13" s="91">
        <v>6.0000000000000001E-3</v>
      </c>
      <c r="AU13" s="91">
        <v>0.66</v>
      </c>
      <c r="AV13" s="91" t="s">
        <v>148</v>
      </c>
      <c r="AW13" s="97"/>
      <c r="AX13" s="256">
        <f>P+ER</f>
        <v>13.756</v>
      </c>
      <c r="AY13" s="256">
        <f>P*0.375*MC</f>
        <v>3.4031250000000002</v>
      </c>
      <c r="AZ13" s="275">
        <f>IF(C13="",0,(0.5*(_ML1*LPM)+0.5*(_ML1*HB)+0.66*(P*PR)+0.66*(_ML2*RDM)+0.66*(E*ER))*VLOOKUP(BATT,'Look Ups'!$U$3:$V$4,2,0))</f>
        <v>44.379722344000001</v>
      </c>
      <c r="BA13" s="98"/>
      <c r="BB13" s="99"/>
      <c r="BC13" s="83">
        <v>10.7</v>
      </c>
      <c r="BD13" s="91">
        <v>2.9339</v>
      </c>
      <c r="BE13" s="91">
        <v>3.1793999999999998</v>
      </c>
      <c r="BF13" s="91">
        <v>6.2E-2</v>
      </c>
      <c r="BG13" s="91">
        <v>9.7789000000000001</v>
      </c>
      <c r="BH13" s="91">
        <v>9.7161000000000008</v>
      </c>
      <c r="BI13" s="91">
        <v>0.29349999999999998</v>
      </c>
      <c r="BJ13" s="91">
        <v>-0.23</v>
      </c>
      <c r="BK13" s="91">
        <v>-0.08</v>
      </c>
      <c r="BL13" s="97"/>
      <c r="BM13" s="275">
        <f>(0.5*LL*LPG)+(0.5*_LG1*HG)+(0.66*LL*LLRG)+(0.66*FG*FRG)+(IF((HG&gt;0),(0.66*_LG2*LRG),(0.66*_LG1*LRG)))</f>
        <v>15.221655642999998</v>
      </c>
      <c r="BN13" s="282"/>
      <c r="BO13" s="283"/>
      <c r="BP13" s="284"/>
      <c r="BQ13" s="284"/>
      <c r="BR13" s="283"/>
      <c r="BS13" s="284"/>
      <c r="BT13" s="284"/>
      <c r="BU13" s="280">
        <f>(0.5*LLS*LPS)+(0.66*LLS*LLRS)+(0.66*LS*LRS)+(0.66*FS*FRS)</f>
        <v>0</v>
      </c>
      <c r="BV13" s="285"/>
      <c r="BW13" s="283"/>
      <c r="BX13" s="283"/>
      <c r="BY13" s="283"/>
      <c r="BZ13" s="283"/>
      <c r="CA13" s="283"/>
      <c r="CB13" s="283"/>
      <c r="CC13" s="275">
        <f>(0.5*LLD*LPD)+(0.66*LLD*LLRD)+(0.66*LCHD*LRD)+(0.66*FD*FRD)</f>
        <v>0</v>
      </c>
      <c r="CD13" s="98">
        <v>7.5</v>
      </c>
      <c r="CE13" s="91">
        <v>15.95</v>
      </c>
      <c r="CF13" s="91">
        <v>14.4</v>
      </c>
      <c r="CG13" s="91">
        <v>6.5</v>
      </c>
      <c r="CH13" s="266">
        <f>IF(SF&gt;0,SMG/SF*100,"")</f>
        <v>86.666666666666671</v>
      </c>
      <c r="CI13" s="283"/>
      <c r="CJ13" s="280">
        <f>SF*(_SL1+_SL2)/4+(SMG-SF/2)*(_SL1+_SL2)/3</f>
        <v>84.72708333333334</v>
      </c>
      <c r="CK13" s="83">
        <v>5.3739999999999997</v>
      </c>
      <c r="CL13" s="91">
        <v>15.4</v>
      </c>
      <c r="CM13" s="91">
        <v>13.916</v>
      </c>
      <c r="CN13" s="91">
        <v>2.806</v>
      </c>
      <c r="CO13" s="256">
        <f>IF(SCRF&gt;0,SCRMG/SCRF*100,"")</f>
        <v>52.21436546334202</v>
      </c>
      <c r="CP13" s="283"/>
      <c r="CQ13" s="256">
        <f>SCRF*(SCRL1+SCRL2)/4+(SCRMG-SCRF/2)*(SCRL1+SCRL2)/3</f>
        <v>40.548914000000003</v>
      </c>
      <c r="CR13" s="256" t="str">
        <f>IF(CO13&lt;'Look Ups'!$AC$4,"Yes","No")</f>
        <v>No</v>
      </c>
      <c r="CS13" s="267">
        <f>IF(CR13="Yes",MIN(150,('Look Ups'!$AC$4-PSCR)/('Look Ups'!$AC$4-'Look Ups'!$AC$3)*100),0)</f>
        <v>0</v>
      </c>
      <c r="CT13" s="83"/>
      <c r="CU13" s="91"/>
      <c r="CV13" s="91"/>
      <c r="CW13" s="91"/>
      <c r="CX13" s="256" t="str">
        <f>IF(USCRF&gt;0,USCRMG/USCRF*100,"")</f>
        <v/>
      </c>
      <c r="CY13" s="293">
        <f>IF(PUSCR&lt;'Look Ups'!$AC$4,MIN(150,('Look Ups'!$AC$4-PUSCR)/('Look Ups'!$AC$4-'Look Ups'!$AC$3)*100),0)</f>
        <v>0</v>
      </c>
      <c r="CZ13" s="275">
        <f>IF(PUSCR&lt;'Look Ups'!$AC$4,USCRF*(USCRL1+USCRL2)/4+(USCRMG-USCRF/2)*(USCRL1+USCRL2)/3,0)</f>
        <v>0</v>
      </c>
      <c r="DA13" s="294">
        <f>IF(ZVAL=1,1,IF(LPM&gt;0,0.64*((AM+MAM)/(E+(MC/2))^2)^0.3,0))</f>
        <v>1</v>
      </c>
      <c r="DB13" s="256">
        <f>0.65*((AM+MAM)*EFM)+0.35*((AM+MAM)*ZVAL)</f>
        <v>47.782847344000004</v>
      </c>
      <c r="DC13" s="256">
        <f>IF(ZVAL=1,1,IF(LPG&gt;0,0.72*(AG/(LPG^2))^0.3,0))</f>
        <v>1</v>
      </c>
      <c r="DD13" s="256">
        <f>AG*EFG</f>
        <v>15.221655642999998</v>
      </c>
      <c r="DE13" s="256">
        <f>IF(AZ13&gt;0,'Look Ups'!$S$3,0)</f>
        <v>1</v>
      </c>
      <c r="DF13" s="256">
        <f>IF(LPS&gt;0,0.72*(AS/(LPS^2))^0.3,0)</f>
        <v>0</v>
      </c>
      <c r="DG13" s="256">
        <f>EFS*AS</f>
        <v>0</v>
      </c>
      <c r="DH13" s="256">
        <f>IF(LPD&gt;0,0.72*(AD/(LPD^2))^0.3,0)</f>
        <v>0</v>
      </c>
      <c r="DI13" s="280">
        <f>IF((AD-AG)&gt;0,0.3*(AD-AG)*EFD,0)</f>
        <v>0</v>
      </c>
      <c r="DJ13" s="295" t="str">
        <f>IF((SCRF=0),"-",IF(AND(MSASC&gt;AG,SCRMG&lt;(0.75*SCRF)),"valid","ERROR"))</f>
        <v>valid</v>
      </c>
      <c r="DK13" s="266" t="str">
        <f>IF((SF=0),"-",IF((SMG&lt;(0.75*SF)),"ERROR",IF(AND(MSASP&gt;MSASC,MSASP&gt;AG,MSASP&gt;=0.36*RSAM),"valid","Small")))</f>
        <v>valid</v>
      </c>
      <c r="DL13" s="267" t="str">
        <f>IF(C13="","",CONCATENATE("MG",IF(FLSCR="valid","Scr",""),IF(FLSPI="valid","SP","")))</f>
        <v>MGScrSP</v>
      </c>
      <c r="DM13" s="294">
        <f>RSAM+RSAG</f>
        <v>63.004502987000002</v>
      </c>
      <c r="DN13" s="256">
        <f>IF(MSASP&gt;0,'Look Ups'!$AI$4*(ZVAL*MSASP-RSAG),0)</f>
        <v>20.8516283071</v>
      </c>
      <c r="DO13" s="256">
        <f>IF(AND(MSASC&gt;0,(MSASC&gt;=0.36*RSAM)),('Look Ups'!$AI$3*(ZVAL*MSASC-RSAG)),(0))</f>
        <v>8.8645404249500004</v>
      </c>
      <c r="DP13" s="256">
        <f>IF(MSASP&gt;0,'Look Ups'!$AI$5*(ZVAL*MSASP-RSAG),0)</f>
        <v>19.461519753293334</v>
      </c>
      <c r="DQ13" s="256">
        <f>IF(MSASC&gt;0,'Look Ups'!$AI$6*(MSASC-RSAG),0)</f>
        <v>1.7729080849900005</v>
      </c>
      <c r="DR13" s="280">
        <f>'Look Ups'!$AI$7*MAX(IF(MSAUSC&gt;0,EUSC/100*(MSAUSC-RSAG),0),IF(CR13="Yes",ELSC/100*(MSASC-RSAG),0))</f>
        <v>0</v>
      </c>
      <c r="DS13" s="280">
        <f>0.36*RSAM</f>
        <v>17.20182504384</v>
      </c>
      <c r="DT13" s="296">
        <f>_xlfn.IFS(SPC="MG",RAMG+DS13,SPC="MGScr",RAMG+RASCO,SPC="MGSp",RAMG+RASPO,SPC="MGScrSp",RAMG+RASPSC+RASCR)+RAUSC+RSAST+RSAD+RSAMZ+RSA2M</f>
        <v>84.238930825283347</v>
      </c>
      <c r="DU13" s="63"/>
    </row>
    <row r="14" spans="1:125" ht="15.6" customHeight="1" x14ac:dyDescent="0.3">
      <c r="A14" s="4"/>
      <c r="B14" s="64" t="s">
        <v>1219</v>
      </c>
      <c r="C14" s="84" t="s">
        <v>1136</v>
      </c>
      <c r="D14" s="112" t="s">
        <v>1137</v>
      </c>
      <c r="E14" s="113" t="s">
        <v>869</v>
      </c>
      <c r="F14" s="252">
        <f ca="1">IF(RW=0,0,ROUND(DLF*0.93*RL^LF*RSA^0.4/RW^0.325,3))</f>
        <v>1.121</v>
      </c>
      <c r="G14" s="252" t="str">
        <f ca="1">IF(OR(FLSCR="ERROR",FLSPI="ERROR"),"No",IF(TODAY()-'Look Ups'!$D$4*365&gt;I14,"WP Applied","Yes"))</f>
        <v>Yes</v>
      </c>
      <c r="H14" s="254" t="str">
        <f>IF(SPC="","",CONCATENATE("Main-Genoa",IF(FLSCR="valid",IF(OR(CR14="Yes",MSAUSC&gt;0),"-Screacher (Upwind)","-Screacher"),""),IF(FLSPI="valid","-Spinnaker",""),IF(RSAMZ&gt;0,"-Mizzen",""),IF(RSA2M&gt;0,"-Second Main",""),IF(AS&gt;0,"-Staysail",""),IF(AD&gt;0,"-Drifter","")))</f>
        <v>Main-Genoa-Screacher (Upwind)-Spinnaker</v>
      </c>
      <c r="I14" s="126">
        <v>45115</v>
      </c>
      <c r="J14" s="126">
        <v>45124</v>
      </c>
      <c r="K14" s="127" t="s">
        <v>1135</v>
      </c>
      <c r="L14" s="127" t="s">
        <v>245</v>
      </c>
      <c r="M14" s="210"/>
      <c r="N14" s="140" t="s">
        <v>165</v>
      </c>
      <c r="O14" s="140" t="s">
        <v>154</v>
      </c>
      <c r="P14" s="141">
        <v>5</v>
      </c>
      <c r="Q14" s="130">
        <v>8.33</v>
      </c>
      <c r="R14" s="127"/>
      <c r="S14" s="257">
        <f>IF((LOAA&gt;LOA),0.025*LOAA,0.025*LOA)</f>
        <v>0.20825000000000002</v>
      </c>
      <c r="T14" s="131">
        <v>0.21</v>
      </c>
      <c r="U14" s="131">
        <v>7.0000000000000007E-2</v>
      </c>
      <c r="V14" s="260">
        <f>IF((_xlfn.SINGLE(LOAA)&gt;_xlfn.SINGLE(LOA)),_xlfn.SINGLE(LOAA),_xlfn.SINGLE(LOA)-_xlfn.SINGLE(FOC)-_xlfn.SINGLE(AOC))</f>
        <v>8.0499999999999989</v>
      </c>
      <c r="W14" s="261">
        <f>IF(RL&gt;0,IF(RL&gt;'Look Ups'!Y$7,'Look Ups'!Y$8,('Look Ups'!Y$3*RL^3+'Look Ups'!Y$4*RL^2+'Look Ups'!Y$5*RL+'Look Ups'!Y$6)),0)</f>
        <v>0.29396628412500003</v>
      </c>
      <c r="X14" s="132">
        <v>525</v>
      </c>
      <c r="Y14" s="429">
        <f ca="1">IF(WDATE&lt;(TODAY()-'Look Ups'!$D$4*365),-WM*'Look Ups'!$D$5/100,0)</f>
        <v>0</v>
      </c>
      <c r="Z14" s="430"/>
      <c r="AA14" s="376">
        <v>332</v>
      </c>
      <c r="AB14" s="224">
        <v>4</v>
      </c>
      <c r="AC14" s="361">
        <f>WCD+NC*'Look Ups'!$AF$3</f>
        <v>348</v>
      </c>
      <c r="AD14" s="361">
        <f ca="1">IF(RL&lt;'Look Ups'!AM$3,'Look Ups'!AM$4,IF(RL&gt;'Look Ups'!AM$5,'Look Ups'!AM$6,(RL-'Look Ups'!AM$3)/('Look Ups'!AM$5-'Look Ups'!AM$3)*('Look Ups'!AM$6-'Look Ups'!AM$4)+'Look Ups'!AM$4))/100*WS</f>
        <v>131.72727272727272</v>
      </c>
      <c r="AE14" s="264">
        <f ca="1">WM+WP+WE</f>
        <v>525</v>
      </c>
      <c r="AF14" s="272">
        <f ca="1">_xlfn.SINGLE(WS)+IF(_xlfn.SINGLE(TCW)&gt;=_xlfn.SINGLE(CWA),_xlfn.SINGLE(CWA),_xlfn.SINGLE(TCW))</f>
        <v>656.72727272727275</v>
      </c>
      <c r="AG14" s="134" t="s">
        <v>145</v>
      </c>
      <c r="AH14" s="135" t="s">
        <v>146</v>
      </c>
      <c r="AI14" s="124" t="s">
        <v>147</v>
      </c>
      <c r="AJ14" s="219"/>
      <c r="AK14" s="274">
        <f>IF(C14="",0,VLOOKUP(AG14,'Look Ups'!$F$3:$G$6,2,0)*VLOOKUP(AH14,'Look Ups'!$I$3:$J$5,2,0)*VLOOKUP(AI14,'Look Ups'!$L$3:$M$7,2,0)*IF(AJ14="",1,VLOOKUP(AJ14,'Look Ups'!$O$3:$P$4,2,0)))</f>
        <v>1</v>
      </c>
      <c r="AL14" s="136">
        <v>11.55</v>
      </c>
      <c r="AM14" s="131">
        <v>11.25</v>
      </c>
      <c r="AN14" s="131">
        <v>3.59</v>
      </c>
      <c r="AO14" s="131">
        <v>1.36</v>
      </c>
      <c r="AP14" s="131">
        <v>0.28999999999999998</v>
      </c>
      <c r="AQ14" s="131">
        <v>11.79</v>
      </c>
      <c r="AR14" s="131">
        <v>0.23</v>
      </c>
      <c r="AS14" s="131">
        <v>3.66</v>
      </c>
      <c r="AT14" s="131">
        <v>0.01</v>
      </c>
      <c r="AU14" s="131">
        <v>0</v>
      </c>
      <c r="AV14" s="131" t="s">
        <v>148</v>
      </c>
      <c r="AW14" s="128">
        <v>0</v>
      </c>
      <c r="AX14" s="257">
        <f>P+ER</f>
        <v>11.799999999999999</v>
      </c>
      <c r="AY14" s="257">
        <f>P*0.375*MC</f>
        <v>0</v>
      </c>
      <c r="AZ14" s="276">
        <f>IF(C14="",0,(0.5*(_ML1*LPM)+0.5*(_ML1*HB)+0.66*(P*PR)+0.66*(_ML2*RDM)+0.66*(E*ER))*VLOOKUP(BATT,'Look Ups'!$U$3:$V$4,2,0))</f>
        <v>32.553378000000002</v>
      </c>
      <c r="BA14" s="137"/>
      <c r="BB14" s="138"/>
      <c r="BC14" s="227">
        <v>9.33</v>
      </c>
      <c r="BD14" s="228">
        <v>2.64</v>
      </c>
      <c r="BE14" s="228">
        <v>2.87</v>
      </c>
      <c r="BF14" s="228">
        <v>0.12</v>
      </c>
      <c r="BG14" s="228">
        <v>8.73</v>
      </c>
      <c r="BH14" s="228">
        <v>8.6999999999999993</v>
      </c>
      <c r="BI14" s="228">
        <v>0.18</v>
      </c>
      <c r="BJ14" s="228">
        <v>0.21</v>
      </c>
      <c r="BK14" s="228">
        <v>7.0000000000000007E-2</v>
      </c>
      <c r="BL14" s="128">
        <v>0</v>
      </c>
      <c r="BM14" s="276">
        <f>(0.5*LL*LPG)+(0.5*_LG1*HG)+(0.66*LL*LLRG)+(0.66*FG*FRG)+(IF((HG&gt;0),(0.66*_LG2*LRG),(0.66*_LG1*LRG)))</f>
        <v>14.96547</v>
      </c>
      <c r="BN14" s="287"/>
      <c r="BO14" s="288"/>
      <c r="BP14" s="289"/>
      <c r="BQ14" s="289"/>
      <c r="BR14" s="288"/>
      <c r="BS14" s="289"/>
      <c r="BT14" s="289"/>
      <c r="BU14" s="290">
        <f>(0.5*LLS*LPS)+(0.66*LLS*LLRS)+(0.66*LS*LRS)+(0.66*FS*FRS)</f>
        <v>0</v>
      </c>
      <c r="BV14" s="285"/>
      <c r="BW14" s="283"/>
      <c r="BX14" s="283"/>
      <c r="BY14" s="283"/>
      <c r="BZ14" s="283"/>
      <c r="CA14" s="283"/>
      <c r="CB14" s="283"/>
      <c r="CC14" s="276">
        <f>(0.5*LLD*LPD)+(0.66*LLD*LLRD)+(0.66*LCHD*LRD)+(0.66*FD*FRD)</f>
        <v>0</v>
      </c>
      <c r="CD14" s="137">
        <v>8.48</v>
      </c>
      <c r="CE14" s="131">
        <v>13.69</v>
      </c>
      <c r="CF14" s="131">
        <v>12.16</v>
      </c>
      <c r="CG14" s="131">
        <v>6.62</v>
      </c>
      <c r="CH14" s="271">
        <f>IF(SF&gt;0,SMG/SF*100,"")</f>
        <v>78.066037735849065</v>
      </c>
      <c r="CI14" s="292"/>
      <c r="CJ14" s="290">
        <f>SF*(_SL1+_SL2)/4+(SMG-SF/2)*(_SL1+_SL2)/3</f>
        <v>75.309666666666672</v>
      </c>
      <c r="CK14" s="227">
        <v>6.4</v>
      </c>
      <c r="CL14" s="228">
        <v>11.35</v>
      </c>
      <c r="CM14" s="228">
        <v>9.33</v>
      </c>
      <c r="CN14" s="228">
        <v>3.24</v>
      </c>
      <c r="CO14" s="257">
        <f>IF(SCRF&gt;0,SCRMG/SCRF*100,"")</f>
        <v>50.625</v>
      </c>
      <c r="CP14" s="292"/>
      <c r="CQ14" s="257">
        <f>SCRF*(SCRL1+SCRL2)/4+(SCRMG-SCRF/2)*(SCRL1+SCRL2)/3</f>
        <v>33.363733333333336</v>
      </c>
      <c r="CR14" s="257" t="str">
        <f>IF(CO14&lt;'Look Ups'!$AC$4,"Yes","No")</f>
        <v>Yes</v>
      </c>
      <c r="CS14" s="272">
        <f>IF(CR14="Yes",MIN(150,('Look Ups'!$AC$4-PSCR)/('Look Ups'!$AC$4-'Look Ups'!$AC$3)*100),0)</f>
        <v>27.500000000000004</v>
      </c>
      <c r="CT14" s="227"/>
      <c r="CU14" s="228"/>
      <c r="CV14" s="228"/>
      <c r="CW14" s="228"/>
      <c r="CX14" s="257" t="str">
        <f>IF(USCRF&gt;0,USCRMG/USCRF*100,"")</f>
        <v/>
      </c>
      <c r="CY14" s="297">
        <f>IF(PUSCR&lt;'Look Ups'!$AC$4,MIN(150,('Look Ups'!$AC$4-PUSCR)/('Look Ups'!$AC$4-'Look Ups'!$AC$3)*100),0)</f>
        <v>0</v>
      </c>
      <c r="CZ14" s="276">
        <f>IF(PUSCR&lt;'Look Ups'!$AC$4,USCRF*(USCRL1+USCRL2)/4+(USCRMG-USCRF/2)*(USCRL1+USCRL2)/3,0)</f>
        <v>0</v>
      </c>
      <c r="DA14" s="298">
        <f>IF(ZVAL=1,1,IF(LPM&gt;0,0.64*((AM+MAM)/(E+(MC/2))^2)^0.3,0))</f>
        <v>1</v>
      </c>
      <c r="DB14" s="257">
        <f>0.65*((AM+MAM)*EFM)+0.35*((AM+MAM)*ZVAL)</f>
        <v>32.553378000000002</v>
      </c>
      <c r="DC14" s="257">
        <f>IF(ZVAL=1,1,IF(LPG&gt;0,0.72*(AG/(LPG^2))^0.3,0))</f>
        <v>1</v>
      </c>
      <c r="DD14" s="257">
        <f>AG*EFG</f>
        <v>14.96547</v>
      </c>
      <c r="DE14" s="257">
        <f>IF(AZ14&gt;0,'Look Ups'!$S$3,0)</f>
        <v>1</v>
      </c>
      <c r="DF14" s="257">
        <f>IF(LPS&gt;0,0.72*(AS/(LPS^2))^0.3,0)</f>
        <v>0</v>
      </c>
      <c r="DG14" s="257">
        <f>EFS*AS</f>
        <v>0</v>
      </c>
      <c r="DH14" s="257">
        <f>IF(LPD&gt;0,0.72*(AD/(LPD^2))^0.3,0)</f>
        <v>0</v>
      </c>
      <c r="DI14" s="290">
        <f>IF((AD-AG)&gt;0,0.3*(AD-AG)*EFD,0)</f>
        <v>0</v>
      </c>
      <c r="DJ14" s="299" t="str">
        <f>IF((SCRF=0),"-",IF(AND(MSASC&gt;AG,SCRMG&lt;(0.75*SCRF)),"valid","ERROR"))</f>
        <v>valid</v>
      </c>
      <c r="DK14" s="271" t="str">
        <f>IF((SF=0),"-",IF((SMG&lt;(0.75*SF)),"ERROR",IF(AND(MSASP&gt;MSASC,MSASP&gt;AG,MSASP&gt;=0.36*RSAM),"valid","Small")))</f>
        <v>valid</v>
      </c>
      <c r="DL14" s="272" t="str">
        <f>IF(C14="","",CONCATENATE("MG",IF(FLSCR="valid","Scr",""),IF(FLSPI="valid","SP","")))</f>
        <v>MGScrSP</v>
      </c>
      <c r="DM14" s="298">
        <f>RSAM+RSAG</f>
        <v>47.518848000000006</v>
      </c>
      <c r="DN14" s="257">
        <f>IF(MSASP&gt;0,'Look Ups'!$AI$4*(ZVAL*MSASP-RSAG),0)</f>
        <v>18.103259000000001</v>
      </c>
      <c r="DO14" s="257">
        <f>IF(AND(MSASC&gt;0,(MSASC&gt;=0.36*RSAM)),('Look Ups'!$AI$3*(ZVAL*MSASC-RSAG)),(0))</f>
        <v>6.4393921666666669</v>
      </c>
      <c r="DP14" s="257">
        <f>IF(MSASP&gt;0,'Look Ups'!$AI$5*(ZVAL*MSASP-RSAG),0)</f>
        <v>16.896375066666671</v>
      </c>
      <c r="DQ14" s="257">
        <f>IF(MSASC&gt;0,'Look Ups'!$AI$6*(MSASC-RSAG),0)</f>
        <v>1.2878784333333337</v>
      </c>
      <c r="DR14" s="290">
        <f>'Look Ups'!$AI$7*MAX(IF(MSAUSC&gt;0,EUSC/100*(MSAUSC-RSAG),0),IF(CR14="Yes",ELSC/100*(MSASC-RSAG),0))</f>
        <v>1.2648806041666669</v>
      </c>
      <c r="DS14" s="290">
        <f>0.36*RSAM</f>
        <v>11.719216080000001</v>
      </c>
      <c r="DT14" s="300">
        <f>_xlfn.IFS(SPC="MG",RAMG+DS14,SPC="MGScr",RAMG+RASCO,SPC="MGSp",RAMG+RASPO,SPC="MGScrSp",RAMG+RASPSC+RASCR)+RAUSC+RSAST+RSAD+RSAMZ+RSA2M</f>
        <v>66.967982104166666</v>
      </c>
      <c r="DU14" s="27"/>
    </row>
    <row r="15" spans="1:125" ht="15.6" customHeight="1" x14ac:dyDescent="0.3">
      <c r="A15" s="4"/>
      <c r="B15" s="84"/>
      <c r="C15" s="65" t="s">
        <v>138</v>
      </c>
      <c r="D15" s="66" t="s">
        <v>139</v>
      </c>
      <c r="E15" s="67" t="s">
        <v>140</v>
      </c>
      <c r="F15" s="252">
        <f ca="1">IF(RW=0,0,ROUND(DLF*0.93*RL^LF*RSA^0.4/RW^0.325,3))</f>
        <v>0.77500000000000002</v>
      </c>
      <c r="G15" s="252" t="str">
        <f ca="1">IF(OR(FLSCR="ERROR",FLSPI="ERROR"),"No",IF(TODAY()-'Look Ups'!$D$4*365&gt;I15,"WP Applied","Yes"))</f>
        <v>Yes</v>
      </c>
      <c r="H15" s="253" t="str">
        <f>IF(SPC="","",CONCATENATE("Main-Genoa",IF(FLSCR="valid",IF(OR(CR15="Yes",MSAUSC&gt;0),"-Screacher (Upwind)","-Screacher"),""),IF(FLSPI="valid","-Spinnaker",""),IF(RSAMZ&gt;0,"-Mizzen",""),IF(RSA2M&gt;0,"-Second Main",""),IF(AS&gt;0,"-Staysail",""),IF(AD&gt;0,"-Drifter","")))</f>
        <v>Main-Genoa-Spinnaker</v>
      </c>
      <c r="I15" s="68">
        <v>43115</v>
      </c>
      <c r="J15" s="68">
        <v>43115</v>
      </c>
      <c r="K15" s="69" t="s">
        <v>141</v>
      </c>
      <c r="L15" s="69" t="s">
        <v>142</v>
      </c>
      <c r="M15" s="208"/>
      <c r="N15" s="70" t="s">
        <v>143</v>
      </c>
      <c r="O15" s="70" t="s">
        <v>144</v>
      </c>
      <c r="P15" s="71"/>
      <c r="Q15" s="72">
        <v>7.32</v>
      </c>
      <c r="R15" s="69"/>
      <c r="S15" s="256">
        <f>IF((LOAA&gt;LOA),0.025*LOAA,0.025*LOA)</f>
        <v>0.18300000000000002</v>
      </c>
      <c r="T15" s="73">
        <v>0.01</v>
      </c>
      <c r="U15" s="73"/>
      <c r="V15" s="258">
        <f>IF((_xlfn.SINGLE(LOAA)&gt;_xlfn.SINGLE(LOA)),_xlfn.SINGLE(LOAA),_xlfn.SINGLE(LOA)-_xlfn.SINGLE(FOC)-_xlfn.SINGLE(AOC))</f>
        <v>7.3100000000000005</v>
      </c>
      <c r="W15" s="259">
        <f>IF(RL&gt;0,IF(RL&gt;'Look Ups'!Y$7,'Look Ups'!Y$8,('Look Ups'!Y$3*RL^3+'Look Ups'!Y$4*RL^2+'Look Ups'!Y$5*RL+'Look Ups'!Y$6)),0)</f>
        <v>0.29112485040300001</v>
      </c>
      <c r="X15" s="74">
        <f>1750-480-10</f>
        <v>1260</v>
      </c>
      <c r="Y15" s="263">
        <f ca="1">IF(WDATE&lt;(TODAY()-'Look Ups'!$D$4*365),-WM*'Look Ups'!$D$5/100,0)</f>
        <v>0</v>
      </c>
      <c r="Z15" s="392"/>
      <c r="AA15" s="106"/>
      <c r="AB15" s="106"/>
      <c r="AC15" s="268">
        <f>WCD+NC*'Look Ups'!$AF$3</f>
        <v>0</v>
      </c>
      <c r="AD15" s="268">
        <f ca="1">IF(RL&lt;'Look Ups'!AM$3,'Look Ups'!AM$4,IF(RL&gt;'Look Ups'!AM$5,'Look Ups'!AM$6,(RL-'Look Ups'!AM$3)/('Look Ups'!AM$5-'Look Ups'!AM$3)*('Look Ups'!AM$6-'Look Ups'!AM$4)+'Look Ups'!AM$4))/100*WS</f>
        <v>350.05090909090904</v>
      </c>
      <c r="AE15" s="269">
        <f ca="1">WM+WP+WE</f>
        <v>1260</v>
      </c>
      <c r="AF15" s="267">
        <f ca="1">_xlfn.SINGLE(WS)+IF(_xlfn.SINGLE(TCW)&gt;=_xlfn.SINGLE(CWA),_xlfn.SINGLE(CWA),_xlfn.SINGLE(TCW))</f>
        <v>1260</v>
      </c>
      <c r="AG15" s="76" t="s">
        <v>145</v>
      </c>
      <c r="AH15" s="77" t="s">
        <v>146</v>
      </c>
      <c r="AI15" s="78" t="s">
        <v>147</v>
      </c>
      <c r="AJ15" s="217"/>
      <c r="AK15" s="273">
        <f>IF(C15="",0,VLOOKUP(AG15,'Look Ups'!$F$3:$G$6,2,0)*VLOOKUP(AH15,'Look Ups'!$I$3:$J$5,2,0)*VLOOKUP(AI15,'Look Ups'!$L$3:$M$7,2,0)*IF(AJ15="",1,VLOOKUP(AJ15,'Look Ups'!$O$3:$P$4,2,0)))</f>
        <v>1</v>
      </c>
      <c r="AL15" s="79">
        <v>10.01</v>
      </c>
      <c r="AM15" s="73">
        <v>9.68</v>
      </c>
      <c r="AN15" s="73">
        <v>3.09</v>
      </c>
      <c r="AO15" s="73">
        <v>1.2</v>
      </c>
      <c r="AP15" s="73">
        <v>0.33</v>
      </c>
      <c r="AQ15" s="73">
        <v>9.73</v>
      </c>
      <c r="AR15" s="73">
        <v>0.08</v>
      </c>
      <c r="AS15" s="73">
        <v>3.21</v>
      </c>
      <c r="AT15" s="73">
        <v>0.02</v>
      </c>
      <c r="AU15" s="73">
        <v>0.48</v>
      </c>
      <c r="AV15" s="73" t="s">
        <v>148</v>
      </c>
      <c r="AW15" s="80" t="s">
        <v>149</v>
      </c>
      <c r="AX15" s="256">
        <f>P+ER</f>
        <v>9.75</v>
      </c>
      <c r="AY15" s="256">
        <f>P*0.375*MC</f>
        <v>1.7514000000000001</v>
      </c>
      <c r="AZ15" s="275">
        <f>IF(C15="",0,(0.5*(_ML1*LPM)+0.5*(_ML1*HB)+0.66*(P*PR)+0.66*(_ML2*RDM)+0.66*(E*ER))*VLOOKUP(BATT,'Look Ups'!$U$3:$V$4,2,0))</f>
        <v>24.135869999999997</v>
      </c>
      <c r="BA15" s="81"/>
      <c r="BB15" s="82"/>
      <c r="BC15" s="79">
        <v>8.7799999999999994</v>
      </c>
      <c r="BD15" s="73">
        <v>2.67</v>
      </c>
      <c r="BE15" s="73">
        <v>2.84</v>
      </c>
      <c r="BF15" s="73">
        <v>0.11</v>
      </c>
      <c r="BG15" s="73">
        <v>8.11</v>
      </c>
      <c r="BH15" s="73"/>
      <c r="BI15" s="73"/>
      <c r="BJ15" s="73">
        <v>0.05</v>
      </c>
      <c r="BK15" s="73"/>
      <c r="BL15" s="80"/>
      <c r="BM15" s="275">
        <f>(0.5*LL*LPG)+(0.5*_LG1*HG)+(0.66*LL*LLRG)+(0.66*FG*FRG)+(IF((HG&gt;0),(0.66*_LG2*LRG),(0.66*_LG1*LRG)))</f>
        <v>12.195114</v>
      </c>
      <c r="BN15" s="277"/>
      <c r="BO15" s="278"/>
      <c r="BP15" s="279"/>
      <c r="BQ15" s="279"/>
      <c r="BR15" s="278"/>
      <c r="BS15" s="279"/>
      <c r="BT15" s="279"/>
      <c r="BU15" s="280">
        <f>(0.5*LLS*LPS)+(0.66*LLS*LLRS)+(0.66*LS*LRS)+(0.66*FS*FRS)</f>
        <v>0</v>
      </c>
      <c r="BV15" s="281"/>
      <c r="BW15" s="278"/>
      <c r="BX15" s="278"/>
      <c r="BY15" s="278"/>
      <c r="BZ15" s="278"/>
      <c r="CA15" s="278"/>
      <c r="CB15" s="278"/>
      <c r="CC15" s="275">
        <f>(0.5*LLD*LPD)+(0.66*LLD*LLRD)+(0.66*LCHD*LRD)+(0.66*FD*FRD)</f>
        <v>0</v>
      </c>
      <c r="CD15" s="81">
        <v>6.9</v>
      </c>
      <c r="CE15" s="73">
        <v>10.75</v>
      </c>
      <c r="CF15" s="73">
        <v>9.69</v>
      </c>
      <c r="CG15" s="73">
        <v>5.52</v>
      </c>
      <c r="CH15" s="266">
        <f>IF(SF&gt;0,SMG/SF*100,"")</f>
        <v>80</v>
      </c>
      <c r="CI15" s="278"/>
      <c r="CJ15" s="280">
        <f>SF*(_SL1+_SL2)/4+(SMG-SF/2)*(_SL1+_SL2)/3</f>
        <v>49.362599999999993</v>
      </c>
      <c r="CK15" s="83"/>
      <c r="CL15" s="73"/>
      <c r="CM15" s="73"/>
      <c r="CN15" s="73"/>
      <c r="CO15" s="256" t="str">
        <f>IF(SCRF&gt;0,SCRMG/SCRF*100,"")</f>
        <v/>
      </c>
      <c r="CP15" s="278"/>
      <c r="CQ15" s="256">
        <f>SCRF*(SCRL1+SCRL2)/4+(SCRMG-SCRF/2)*(SCRL1+SCRL2)/3</f>
        <v>0</v>
      </c>
      <c r="CR15" s="256" t="str">
        <f>IF(CO15&lt;'Look Ups'!$AC$4,"Yes","No")</f>
        <v>No</v>
      </c>
      <c r="CS15" s="267">
        <f>IF(CR15="Yes",MIN(150,('Look Ups'!$AC$4-PSCR)/('Look Ups'!$AC$4-'Look Ups'!$AC$3)*100),0)</f>
        <v>0</v>
      </c>
      <c r="CT15" s="83"/>
      <c r="CU15" s="73"/>
      <c r="CV15" s="73"/>
      <c r="CW15" s="73"/>
      <c r="CX15" s="256" t="str">
        <f>IF(USCRF&gt;0,USCRMG/USCRF*100,"")</f>
        <v/>
      </c>
      <c r="CY15" s="293">
        <f>IF(PUSCR&lt;'Look Ups'!$AC$4,MIN(150,('Look Ups'!$AC$4-PUSCR)/('Look Ups'!$AC$4-'Look Ups'!$AC$3)*100),0)</f>
        <v>0</v>
      </c>
      <c r="CZ15" s="275">
        <f>IF(PUSCR&lt;'Look Ups'!$AC$4,USCRF*(USCRL1+USCRL2)/4+(USCRMG-USCRF/2)*(USCRL1+USCRL2)/3,0)</f>
        <v>0</v>
      </c>
      <c r="DA15" s="294">
        <f>IF(ZVAL=1,1,IF(LPM&gt;0,0.64*((AM+MAM)/(E+(MC/2))^2)^0.3,0))</f>
        <v>1</v>
      </c>
      <c r="DB15" s="256">
        <f>0.65*((AM+MAM)*EFM)+0.35*((AM+MAM)*ZVAL)</f>
        <v>25.887269999999997</v>
      </c>
      <c r="DC15" s="256">
        <f>IF(ZVAL=1,1,IF(LPG&gt;0,0.72*(AG/(LPG^2))^0.3,0))</f>
        <v>1</v>
      </c>
      <c r="DD15" s="256">
        <f>AG*EFG</f>
        <v>12.195114</v>
      </c>
      <c r="DE15" s="256">
        <f>IF(AZ15&gt;0,'Look Ups'!$S$3,0)</f>
        <v>1</v>
      </c>
      <c r="DF15" s="256">
        <f>IF(LPS&gt;0,0.72*(AS/(LPS^2))^0.3,0)</f>
        <v>0</v>
      </c>
      <c r="DG15" s="256">
        <f>EFS*AS</f>
        <v>0</v>
      </c>
      <c r="DH15" s="256">
        <f>IF(LPD&gt;0,0.72*(AD/(LPD^2))^0.3,0)</f>
        <v>0</v>
      </c>
      <c r="DI15" s="280">
        <f>IF((AD-AG)&gt;0,0.3*(AD-AG)*EFD,0)</f>
        <v>0</v>
      </c>
      <c r="DJ15" s="295" t="str">
        <f>IF((SCRF=0),"-",IF(AND(MSASC&gt;AG,SCRMG&lt;(0.75*SCRF)),"valid","ERROR"))</f>
        <v>-</v>
      </c>
      <c r="DK15" s="266" t="str">
        <f>IF((SF=0),"-",IF((SMG&lt;(0.75*SF)),"ERROR",IF(AND(MSASP&gt;MSASC,MSASP&gt;AG,MSASP&gt;=0.36*RSAM),"valid","Small")))</f>
        <v>valid</v>
      </c>
      <c r="DL15" s="267" t="str">
        <f>IF(C15="","",CONCATENATE("MG",IF(FLSCR="valid","Scr",""),IF(FLSPI="valid","SP","")))</f>
        <v>MGSP</v>
      </c>
      <c r="DM15" s="294">
        <f>RSAM+RSAG</f>
        <v>38.082383999999998</v>
      </c>
      <c r="DN15" s="256">
        <f>IF(MSASP&gt;0,'Look Ups'!$AI$4*(ZVAL*MSASP-RSAG),0)</f>
        <v>11.150245799999999</v>
      </c>
      <c r="DO15" s="256">
        <f>IF(AND(MSASC&gt;0,(MSASC&gt;=0.36*RSAM)),('Look Ups'!$AI$3*(ZVAL*MSASC-RSAG)),(0))</f>
        <v>0</v>
      </c>
      <c r="DP15" s="256">
        <f>IF(MSASP&gt;0,'Look Ups'!$AI$5*(ZVAL*MSASP-RSAG),0)</f>
        <v>10.406896079999999</v>
      </c>
      <c r="DQ15" s="256">
        <f>IF(MSASC&gt;0,'Look Ups'!$AI$6*(MSASC-RSAG),0)</f>
        <v>0</v>
      </c>
      <c r="DR15" s="280">
        <f>'Look Ups'!$AI$7*MAX(IF(MSAUSC&gt;0,EUSC/100*(MSAUSC-RSAG),0),IF(CR15="Yes",ELSC/100*(MSASC-RSAG),0))</f>
        <v>0</v>
      </c>
      <c r="DS15" s="280">
        <f>0.36*RSAM</f>
        <v>9.3194171999999984</v>
      </c>
      <c r="DT15" s="296">
        <f>_xlfn.IFS(SPC="MG",RAMG+DS15,SPC="MGScr",RAMG+RASCO,SPC="MGSp",RAMG+RASPO,SPC="MGScrSp",RAMG+RASPSC+RASCR)+RAUSC+RSAST+RSAD+RSAMZ+RSA2M</f>
        <v>49.232629799999998</v>
      </c>
      <c r="DU15" s="63"/>
    </row>
    <row r="16" spans="1:125" ht="15.6" customHeight="1" x14ac:dyDescent="0.3">
      <c r="A16" s="4"/>
      <c r="B16" s="84"/>
      <c r="C16" s="64" t="s">
        <v>150</v>
      </c>
      <c r="D16" s="85" t="s">
        <v>151</v>
      </c>
      <c r="E16" s="86" t="s">
        <v>152</v>
      </c>
      <c r="F16" s="252">
        <f ca="1">IF(RW=0,0,ROUND(DLF*0.93*RL^LF*RSA^0.4/RW^0.325,3))</f>
        <v>0.84799999999999998</v>
      </c>
      <c r="G16" s="252" t="str">
        <f ca="1">IF(OR(FLSCR="ERROR",FLSPI="ERROR"),"No",IF(TODAY()-'Look Ups'!$D$4*365&gt;I16,"WP Applied","Yes"))</f>
        <v>Yes</v>
      </c>
      <c r="H16" s="253" t="str">
        <f>IF(SPC="","",CONCATENATE("Main-Genoa",IF(FLSCR="valid",IF(OR(CR16="Yes",MSAUSC&gt;0),"-Screacher (Upwind)","-Screacher"),""),IF(FLSPI="valid","-Spinnaker",""),IF(RSAMZ&gt;0,"-Mizzen",""),IF(RSA2M&gt;0,"-Second Main",""),IF(AS&gt;0,"-Staysail",""),IF(AD&gt;0,"-Drifter","")))</f>
        <v>Main-Genoa-Screacher (Upwind)-Spinnaker</v>
      </c>
      <c r="I16" s="1">
        <v>43682</v>
      </c>
      <c r="J16" s="1">
        <v>43682</v>
      </c>
      <c r="K16" s="87" t="s">
        <v>153</v>
      </c>
      <c r="L16" s="87" t="s">
        <v>142</v>
      </c>
      <c r="M16" s="207"/>
      <c r="N16" s="88" t="s">
        <v>143</v>
      </c>
      <c r="O16" s="88" t="s">
        <v>154</v>
      </c>
      <c r="P16" s="89"/>
      <c r="Q16" s="90">
        <v>8.18</v>
      </c>
      <c r="R16" s="87"/>
      <c r="S16" s="256">
        <f>IF((LOAA&gt;LOA),0.025*LOAA,0.025*LOA)</f>
        <v>0.20450000000000002</v>
      </c>
      <c r="T16" s="91"/>
      <c r="U16" s="91">
        <v>0</v>
      </c>
      <c r="V16" s="258">
        <f>IF((_xlfn.SINGLE(LOAA)&gt;_xlfn.SINGLE(LOA)),_xlfn.SINGLE(LOAA),_xlfn.SINGLE(LOA)-_xlfn.SINGLE(FOC)-_xlfn.SINGLE(AOC))</f>
        <v>8.18</v>
      </c>
      <c r="W16" s="259">
        <f>IF(RL&gt;0,IF(RL&gt;'Look Ups'!Y$7,'Look Ups'!Y$8,('Look Ups'!Y$3*RL^3+'Look Ups'!Y$4*RL^2+'Look Ups'!Y$5*RL+'Look Ups'!Y$6)),0)</f>
        <v>0.294394973256</v>
      </c>
      <c r="X16" s="92">
        <v>1430</v>
      </c>
      <c r="Y16" s="263">
        <f ca="1">IF(WDATE&lt;(TODAY()-'Look Ups'!$D$4*365),-WM*'Look Ups'!$D$5/100,0)</f>
        <v>0</v>
      </c>
      <c r="Z16" s="103"/>
      <c r="AA16" s="104"/>
      <c r="AB16" s="106"/>
      <c r="AC16" s="268">
        <f>WCD+NC*'Look Ups'!$AF$3</f>
        <v>0</v>
      </c>
      <c r="AD16" s="268">
        <f ca="1">IF(RL&lt;'Look Ups'!AM$3,'Look Ups'!AM$4,IF(RL&gt;'Look Ups'!AM$5,'Look Ups'!AM$6,(RL-'Look Ups'!AM$3)/('Look Ups'!AM$5-'Look Ups'!AM$3)*('Look Ups'!AM$6-'Look Ups'!AM$4)+'Look Ups'!AM$4))/100*WS</f>
        <v>352.03999999999996</v>
      </c>
      <c r="AE16" s="269">
        <f ca="1">WM+WP+WE</f>
        <v>1430</v>
      </c>
      <c r="AF16" s="267">
        <f ca="1">_xlfn.SINGLE(WS)+IF(_xlfn.SINGLE(TCW)&gt;=_xlfn.SINGLE(CWA),_xlfn.SINGLE(CWA),_xlfn.SINGLE(TCW))</f>
        <v>1430</v>
      </c>
      <c r="AG16" s="94" t="s">
        <v>155</v>
      </c>
      <c r="AH16" s="95" t="s">
        <v>146</v>
      </c>
      <c r="AI16" s="96" t="s">
        <v>147</v>
      </c>
      <c r="AJ16" s="218"/>
      <c r="AK16" s="273">
        <f>IF(C16="",0,VLOOKUP(AG16,'Look Ups'!$F$3:$G$6,2,0)*VLOOKUP(AH16,'Look Ups'!$I$3:$J$5,2,0)*VLOOKUP(AI16,'Look Ups'!$L$3:$M$7,2,0)*IF(AJ16="",1,VLOOKUP(AJ16,'Look Ups'!$O$3:$P$4,2,0)))</f>
        <v>0.99</v>
      </c>
      <c r="AL16" s="83">
        <v>10.68</v>
      </c>
      <c r="AM16" s="91">
        <v>10.46</v>
      </c>
      <c r="AN16" s="91">
        <v>3.14</v>
      </c>
      <c r="AO16" s="91">
        <v>1.29</v>
      </c>
      <c r="AP16" s="91">
        <v>0.52</v>
      </c>
      <c r="AQ16" s="91">
        <v>10.49</v>
      </c>
      <c r="AR16" s="91">
        <v>0.09</v>
      </c>
      <c r="AS16" s="91">
        <v>3.25</v>
      </c>
      <c r="AT16" s="91">
        <v>0.02</v>
      </c>
      <c r="AU16" s="91">
        <v>0.49</v>
      </c>
      <c r="AV16" s="91" t="s">
        <v>148</v>
      </c>
      <c r="AW16" s="97"/>
      <c r="AX16" s="256">
        <f>P+ER</f>
        <v>10.51</v>
      </c>
      <c r="AY16" s="256">
        <f>P*0.375*MC</f>
        <v>1.9275374999999999</v>
      </c>
      <c r="AZ16" s="275">
        <f>IF(C16="",0,(0.5*(_ML1*LPM)+0.5*(_ML1*HB)+0.66*(P*PR)+0.66*(_ML2*RDM)+0.66*(E*ER))*VLOOKUP(BATT,'Look Ups'!$U$3:$V$4,2,0))</f>
        <v>27.912078000000001</v>
      </c>
      <c r="BA16" s="98"/>
      <c r="BB16" s="99"/>
      <c r="BC16" s="83">
        <v>8.6999999999999993</v>
      </c>
      <c r="BD16" s="91">
        <v>2.74</v>
      </c>
      <c r="BE16" s="91">
        <v>3</v>
      </c>
      <c r="BF16" s="91">
        <v>0.18</v>
      </c>
      <c r="BG16" s="91">
        <v>7.9</v>
      </c>
      <c r="BH16" s="91"/>
      <c r="BI16" s="91"/>
      <c r="BJ16" s="91"/>
      <c r="BK16" s="91">
        <v>0.02</v>
      </c>
      <c r="BL16" s="87"/>
      <c r="BM16" s="275">
        <f>(0.5*LL*LPG)+(0.5*_LG1*HG)+(0.66*LL*LLRG)+(0.66*FG*FRG)+(IF((HG&gt;0),(0.66*_LG2*LRG),(0.66*_LG1*LRG)))</f>
        <v>12.39024</v>
      </c>
      <c r="BN16" s="282"/>
      <c r="BO16" s="283"/>
      <c r="BP16" s="284"/>
      <c r="BQ16" s="284"/>
      <c r="BR16" s="283"/>
      <c r="BS16" s="284"/>
      <c r="BT16" s="284"/>
      <c r="BU16" s="280">
        <f>(0.5*LLS*LPS)+(0.66*LLS*LLRS)+(0.66*LS*LRS)+(0.66*FS*FRS)</f>
        <v>0</v>
      </c>
      <c r="BV16" s="285"/>
      <c r="BW16" s="283"/>
      <c r="BX16" s="283"/>
      <c r="BY16" s="283"/>
      <c r="BZ16" s="283"/>
      <c r="CA16" s="283"/>
      <c r="CB16" s="283"/>
      <c r="CC16" s="275">
        <f>(0.5*LLD*LPD)+(0.66*LLD*LLRD)+(0.66*LCHD*LRD)+(0.66*FD*FRD)</f>
        <v>0</v>
      </c>
      <c r="CD16" s="98">
        <v>7.85</v>
      </c>
      <c r="CE16" s="91">
        <v>11.9</v>
      </c>
      <c r="CF16" s="91">
        <v>10.29</v>
      </c>
      <c r="CG16" s="91">
        <v>8.85</v>
      </c>
      <c r="CH16" s="266">
        <f>IF(SF&gt;0,SMG/SF*100,"")</f>
        <v>112.73885350318471</v>
      </c>
      <c r="CI16" s="283"/>
      <c r="CJ16" s="280">
        <f>SF*(_SL1+_SL2)/4+(SMG-SF/2)*(_SL1+_SL2)/3</f>
        <v>79.976458333333312</v>
      </c>
      <c r="CK16" s="83">
        <v>6.48</v>
      </c>
      <c r="CL16" s="91">
        <v>9.6300000000000008</v>
      </c>
      <c r="CM16" s="91">
        <v>8.86</v>
      </c>
      <c r="CN16" s="91">
        <v>3.29</v>
      </c>
      <c r="CO16" s="256">
        <f>IF(SCRF&gt;0,SCRMG/SCRF*100,"")</f>
        <v>50.771604938271594</v>
      </c>
      <c r="CP16" s="283"/>
      <c r="CQ16" s="256">
        <f>SCRF*(SCRL1+SCRL2)/4+(SCRMG-SCRF/2)*(SCRL1+SCRL2)/3</f>
        <v>30.26196666666667</v>
      </c>
      <c r="CR16" s="256" t="str">
        <f>IF(CO16&lt;'Look Ups'!$AC$4,"Yes","No")</f>
        <v>Yes</v>
      </c>
      <c r="CS16" s="267">
        <f>IF(CR16="Yes",MIN(150,('Look Ups'!$AC$4-PSCR)/('Look Ups'!$AC$4-'Look Ups'!$AC$3)*100),0)</f>
        <v>24.567901234568126</v>
      </c>
      <c r="CT16" s="83"/>
      <c r="CU16" s="91"/>
      <c r="CV16" s="91"/>
      <c r="CW16" s="91"/>
      <c r="CX16" s="256" t="str">
        <f>IF(USCRF&gt;0,USCRMG/USCRF*100,"")</f>
        <v/>
      </c>
      <c r="CY16" s="293">
        <f>IF(PUSCR&lt;'Look Ups'!$AC$4,MIN(150,('Look Ups'!$AC$4-PUSCR)/('Look Ups'!$AC$4-'Look Ups'!$AC$3)*100),0)</f>
        <v>0</v>
      </c>
      <c r="CZ16" s="275">
        <f>IF(PUSCR&lt;'Look Ups'!$AC$4,USCRF*(USCRL1+USCRL2)/4+(USCRMG-USCRF/2)*(USCRL1+USCRL2)/3,0)</f>
        <v>0</v>
      </c>
      <c r="DA16" s="294">
        <f>IF(ZVAL=1,1,IF(LPM&gt;0,0.64*((AM+MAM)/(E+(MC/2))^2)^0.3,0))</f>
        <v>1</v>
      </c>
      <c r="DB16" s="256">
        <f>0.65*((AM+MAM)*EFM)+0.35*((AM+MAM)*ZVAL)</f>
        <v>29.839615500000001</v>
      </c>
      <c r="DC16" s="256">
        <f>IF(ZVAL=1,1,IF(LPG&gt;0,0.72*(AG/(LPG^2))^0.3,0))</f>
        <v>1</v>
      </c>
      <c r="DD16" s="256">
        <f>AG*EFG</f>
        <v>12.39024</v>
      </c>
      <c r="DE16" s="256">
        <f>IF(AZ16&gt;0,'Look Ups'!$S$3,0)</f>
        <v>1</v>
      </c>
      <c r="DF16" s="256">
        <f>IF(LPS&gt;0,0.72*(AS/(LPS^2))^0.3,0)</f>
        <v>0</v>
      </c>
      <c r="DG16" s="256">
        <f>EFS*AS</f>
        <v>0</v>
      </c>
      <c r="DH16" s="256">
        <f>IF(LPD&gt;0,0.72*(AD/(LPD^2))^0.3,0)</f>
        <v>0</v>
      </c>
      <c r="DI16" s="280">
        <f>IF((AD-AG)&gt;0,0.3*(AD-AG)*EFD,0)</f>
        <v>0</v>
      </c>
      <c r="DJ16" s="295" t="str">
        <f>IF((SCRF=0),"-",IF(AND(MSASC&gt;AG,SCRMG&lt;(0.75*SCRF)),"valid","ERROR"))</f>
        <v>valid</v>
      </c>
      <c r="DK16" s="266" t="str">
        <f>IF((SF=0),"-",IF((SMG&lt;(0.75*SF)),"ERROR",IF(AND(MSASP&gt;MSASC,MSASP&gt;AG,MSASP&gt;=0.36*RSAM),"valid","Small")))</f>
        <v>valid</v>
      </c>
      <c r="DL16" s="267" t="str">
        <f>IF(C16="","",CONCATENATE("MG",IF(FLSCR="valid","Scr",""),IF(FLSPI="valid","SP","")))</f>
        <v>MGScrSP</v>
      </c>
      <c r="DM16" s="294">
        <f>RSAM+RSAG</f>
        <v>42.229855499999999</v>
      </c>
      <c r="DN16" s="256">
        <f>IF(MSASP&gt;0,'Look Ups'!$AI$4*(ZVAL*MSASP-RSAG),0)</f>
        <v>20.275865499999991</v>
      </c>
      <c r="DO16" s="256">
        <f>IF(AND(MSASC&gt;0,(MSASC&gt;=0.36*RSAM)),('Look Ups'!$AI$3*(ZVAL*MSASC-RSAG)),(0))</f>
        <v>6.2551043333333336</v>
      </c>
      <c r="DP16" s="256">
        <f>IF(MSASP&gt;0,'Look Ups'!$AI$5*(ZVAL*MSASP-RSAG),0)</f>
        <v>18.924141133333329</v>
      </c>
      <c r="DQ16" s="256">
        <f>IF(MSASC&gt;0,'Look Ups'!$AI$6*(MSASC-RSAG),0)</f>
        <v>1.2510208666666669</v>
      </c>
      <c r="DR16" s="280">
        <f>'Look Ups'!$AI$7*MAX(IF(MSAUSC&gt;0,EUSC/100*(MSAUSC-RSAG),0),IF(CR16="Yes",ELSC/100*(MSASC-RSAG),0))</f>
        <v>1.0976770390946604</v>
      </c>
      <c r="DS16" s="280">
        <f>0.36*RSAM</f>
        <v>10.742261579999999</v>
      </c>
      <c r="DT16" s="296">
        <f>_xlfn.IFS(SPC="MG",RAMG+DS16,SPC="MGScr",RAMG+RASCO,SPC="MGSp",RAMG+RASPO,SPC="MGScrSp",RAMG+RASPSC+RASCR)+RAUSC+RSAST+RSAD+RSAMZ+RSA2M</f>
        <v>63.502694539094655</v>
      </c>
      <c r="DU16" s="63"/>
    </row>
    <row r="17" spans="1:125" ht="15.6" customHeight="1" x14ac:dyDescent="0.3">
      <c r="A17" s="4"/>
      <c r="B17" s="64"/>
      <c r="C17" s="64" t="s">
        <v>156</v>
      </c>
      <c r="D17" s="85" t="s">
        <v>157</v>
      </c>
      <c r="E17" s="86" t="s">
        <v>158</v>
      </c>
      <c r="F17" s="252">
        <f ca="1">IF(RW=0,0,ROUND(DLF*0.93*RL^LF*RSA^0.4/RW^0.325,3))</f>
        <v>0.96099999999999997</v>
      </c>
      <c r="G17" s="252" t="str">
        <f ca="1">IF(OR(FLSCR="ERROR",FLSPI="ERROR"),"No",IF(TODAY()-'Look Ups'!$D$4*365&gt;I17,"WP Applied","Yes"))</f>
        <v>WP Applied</v>
      </c>
      <c r="H17" s="253" t="str">
        <f>IF(SPC="","",CONCATENATE("Main-Genoa",IF(FLSCR="valid",IF(OR(CR17="Yes",MSAUSC&gt;0),"-Screacher (Upwind)","-Screacher"),""),IF(FLSPI="valid","-Spinnaker",""),IF(RSAMZ&gt;0,"-Mizzen",""),IF(RSA2M&gt;0,"-Second Main",""),IF(AS&gt;0,"-Staysail",""),IF(AD&gt;0,"-Drifter","")))</f>
        <v>Main-Genoa-Screacher (Upwind)-Spinnaker</v>
      </c>
      <c r="I17" s="1">
        <v>42019</v>
      </c>
      <c r="J17" s="1">
        <v>42019</v>
      </c>
      <c r="K17" s="87" t="s">
        <v>141</v>
      </c>
      <c r="L17" s="87" t="s">
        <v>159</v>
      </c>
      <c r="M17" s="207"/>
      <c r="N17" s="88" t="s">
        <v>143</v>
      </c>
      <c r="O17" s="88" t="s">
        <v>144</v>
      </c>
      <c r="P17" s="100"/>
      <c r="Q17" s="90">
        <v>9.2100000000000009</v>
      </c>
      <c r="R17" s="87"/>
      <c r="S17" s="256">
        <f>IF((LOAA&gt;LOA),0.025*LOAA,0.025*LOA)</f>
        <v>0.23025000000000004</v>
      </c>
      <c r="T17" s="91">
        <v>1.4E-2</v>
      </c>
      <c r="U17" s="91">
        <v>0</v>
      </c>
      <c r="V17" s="258">
        <f>IF((_xlfn.SINGLE(LOAA)&gt;_xlfn.SINGLE(LOA)),_xlfn.SINGLE(LOAA),_xlfn.SINGLE(LOA)-_xlfn.SINGLE(FOC)-_xlfn.SINGLE(AOC))</f>
        <v>9.1960000000000015</v>
      </c>
      <c r="W17" s="259">
        <f>IF(RL&gt;0,IF(RL&gt;'Look Ups'!Y$7,'Look Ups'!Y$8,('Look Ups'!Y$3*RL^3+'Look Ups'!Y$4*RL^2+'Look Ups'!Y$5*RL+'Look Ups'!Y$6)),0)</f>
        <v>0.29709221873068803</v>
      </c>
      <c r="X17" s="92">
        <v>2074</v>
      </c>
      <c r="Y17" s="262">
        <f ca="1">IF(WDATE&lt;(TODAY()-'Look Ups'!$D$4*365),-WM*'Look Ups'!$D$5/100,0)</f>
        <v>-311.10000000000002</v>
      </c>
      <c r="Z17" s="93"/>
      <c r="AA17" s="93"/>
      <c r="AB17" s="75"/>
      <c r="AC17" s="268">
        <f>WCD+NC*'Look Ups'!$AF$3</f>
        <v>0</v>
      </c>
      <c r="AD17" s="268">
        <f ca="1">IF(RL&lt;'Look Ups'!AM$3,'Look Ups'!AM$4,IF(RL&gt;'Look Ups'!AM$5,'Look Ups'!AM$6,(RL-'Look Ups'!AM$3)/('Look Ups'!AM$5-'Look Ups'!AM$3)*('Look Ups'!AM$6-'Look Ups'!AM$4)+'Look Ups'!AM$4))/100*WS</f>
        <v>368.86278545454536</v>
      </c>
      <c r="AE17" s="266">
        <f ca="1">WM+WP+WE</f>
        <v>1762.9</v>
      </c>
      <c r="AF17" s="267">
        <f ca="1">_xlfn.SINGLE(WS)+IF(_xlfn.SINGLE(TCW)&gt;=_xlfn.SINGLE(CWA),_xlfn.SINGLE(CWA),_xlfn.SINGLE(TCW))</f>
        <v>1762.9</v>
      </c>
      <c r="AG17" s="94" t="s">
        <v>145</v>
      </c>
      <c r="AH17" s="95" t="s">
        <v>146</v>
      </c>
      <c r="AI17" s="96" t="s">
        <v>147</v>
      </c>
      <c r="AJ17" s="218"/>
      <c r="AK17" s="273">
        <f>IF(C17="",0,VLOOKUP(AG17,'Look Ups'!$F$3:$G$6,2,0)*VLOOKUP(AH17,'Look Ups'!$I$3:$J$5,2,0)*VLOOKUP(AI17,'Look Ups'!$L$3:$M$7,2,0)*IF(AJ17="",1,VLOOKUP(AJ17,'Look Ups'!$O$3:$P$4,2,0)))</f>
        <v>1</v>
      </c>
      <c r="AL17" s="83">
        <v>13.83</v>
      </c>
      <c r="AM17" s="91">
        <v>13.5</v>
      </c>
      <c r="AN17" s="91">
        <v>3.91</v>
      </c>
      <c r="AO17" s="91">
        <v>1.83</v>
      </c>
      <c r="AP17" s="91">
        <v>0.35</v>
      </c>
      <c r="AQ17" s="91">
        <v>13.45</v>
      </c>
      <c r="AR17" s="91">
        <v>0.23</v>
      </c>
      <c r="AS17" s="91">
        <v>4.07</v>
      </c>
      <c r="AT17" s="91">
        <v>0</v>
      </c>
      <c r="AU17" s="91">
        <v>0.60000000000000009</v>
      </c>
      <c r="AV17" s="91" t="s">
        <v>148</v>
      </c>
      <c r="AW17" s="97">
        <v>0</v>
      </c>
      <c r="AX17" s="256">
        <f>P+ER</f>
        <v>13.45</v>
      </c>
      <c r="AY17" s="256">
        <f>P*0.375*MC</f>
        <v>3.0262500000000001</v>
      </c>
      <c r="AZ17" s="275">
        <f>IF(C17="",0,(0.5*(_ML1*LPM)+0.5*(_ML1*HB)+0.66*(P*PR)+0.66*(_ML2*RDM)+0.66*(E*ER))*VLOOKUP(BATT,'Look Ups'!$U$3:$V$4,2,0))</f>
        <v>44.852310000000003</v>
      </c>
      <c r="BA17" s="98"/>
      <c r="BB17" s="99"/>
      <c r="BC17" s="83">
        <v>10.88</v>
      </c>
      <c r="BD17" s="91">
        <v>3.02</v>
      </c>
      <c r="BE17" s="91">
        <v>3.32</v>
      </c>
      <c r="BF17" s="91">
        <v>0.15</v>
      </c>
      <c r="BG17" s="91">
        <v>9.8699999999999992</v>
      </c>
      <c r="BH17" s="91">
        <v>9.8699999999999992</v>
      </c>
      <c r="BI17" s="91">
        <v>0.36</v>
      </c>
      <c r="BJ17" s="91">
        <v>7.0000000000000007E-2</v>
      </c>
      <c r="BK17" s="91">
        <v>0.03</v>
      </c>
      <c r="BL17" s="97">
        <v>0</v>
      </c>
      <c r="BM17" s="275">
        <f>(0.5*LL*LPG)+(0.5*_LG1*HG)+(0.66*LL*LLRG)+(0.66*FG*FRG)+(IF((HG&gt;0),(0.66*_LG2*LRG),(0.66*_LG1*LRG)))</f>
        <v>19.205497999999999</v>
      </c>
      <c r="BN17" s="282"/>
      <c r="BO17" s="283"/>
      <c r="BP17" s="284"/>
      <c r="BQ17" s="284"/>
      <c r="BR17" s="283"/>
      <c r="BS17" s="284"/>
      <c r="BT17" s="284"/>
      <c r="BU17" s="280">
        <f>(0.5*LLS*LPS)+(0.66*LLS*LLRS)+(0.66*LS*LRS)+(0.66*FS*FRS)</f>
        <v>0</v>
      </c>
      <c r="BV17" s="285"/>
      <c r="BW17" s="283"/>
      <c r="BX17" s="283"/>
      <c r="BY17" s="283"/>
      <c r="BZ17" s="283"/>
      <c r="CA17" s="283"/>
      <c r="CB17" s="283"/>
      <c r="CC17" s="275">
        <f>(0.5*LLD*LPD)+(0.66*LLD*LLRD)+(0.66*LCHD*LRD)+(0.66*FD*FRD)</f>
        <v>0</v>
      </c>
      <c r="CD17" s="98">
        <v>8.3800000000000008</v>
      </c>
      <c r="CE17" s="91">
        <v>15.6</v>
      </c>
      <c r="CF17" s="91">
        <v>14.34</v>
      </c>
      <c r="CG17" s="91">
        <v>7.02</v>
      </c>
      <c r="CH17" s="266">
        <f>IF(SF&gt;0,SMG/SF*100,"")</f>
        <v>83.770883054892593</v>
      </c>
      <c r="CI17" s="283"/>
      <c r="CJ17" s="280">
        <f>SF*(_SL1+_SL2)/4+(SMG-SF/2)*(_SL1+_SL2)/3</f>
        <v>90.967699999999994</v>
      </c>
      <c r="CK17" s="83">
        <v>7.22</v>
      </c>
      <c r="CL17" s="91">
        <v>13.1</v>
      </c>
      <c r="CM17" s="91">
        <v>11.32</v>
      </c>
      <c r="CN17" s="91">
        <v>3.65</v>
      </c>
      <c r="CO17" s="256">
        <f>IF(SCRF&gt;0,SCRMG/SCRF*100,"")</f>
        <v>50.554016620498622</v>
      </c>
      <c r="CP17" s="283"/>
      <c r="CQ17" s="256">
        <f>SCRF*(SCRL1+SCRL2)/4+(SCRMG-SCRF/2)*(SCRL1+SCRL2)/3</f>
        <v>44.403700000000001</v>
      </c>
      <c r="CR17" s="256" t="str">
        <f>IF(CO17&lt;'Look Ups'!$AC$4,"Yes","No")</f>
        <v>Yes</v>
      </c>
      <c r="CS17" s="267">
        <f>IF(CR17="Yes",MIN(150,('Look Ups'!$AC$4-PSCR)/('Look Ups'!$AC$4-'Look Ups'!$AC$3)*100),0)</f>
        <v>28.919667590027558</v>
      </c>
      <c r="CT17" s="83"/>
      <c r="CU17" s="91"/>
      <c r="CV17" s="91"/>
      <c r="CW17" s="91"/>
      <c r="CX17" s="256" t="str">
        <f>IF(USCRF&gt;0,USCRMG/USCRF*100,"")</f>
        <v/>
      </c>
      <c r="CY17" s="293">
        <f>IF(PUSCR&lt;'Look Ups'!$AC$4,MIN(150,('Look Ups'!$AC$4-PUSCR)/('Look Ups'!$AC$4-'Look Ups'!$AC$3)*100),0)</f>
        <v>0</v>
      </c>
      <c r="CZ17" s="275">
        <f>IF(PUSCR&lt;'Look Ups'!$AC$4,USCRF*(USCRL1+USCRL2)/4+(USCRMG-USCRF/2)*(USCRL1+USCRL2)/3,0)</f>
        <v>0</v>
      </c>
      <c r="DA17" s="294">
        <f>IF(ZVAL=1,1,IF(LPM&gt;0,0.64*((AM+MAM)/(E+(MC/2))^2)^0.3,0))</f>
        <v>1</v>
      </c>
      <c r="DB17" s="256">
        <f>0.65*((AM+MAM)*EFM)+0.35*((AM+MAM)*ZVAL)</f>
        <v>47.87856</v>
      </c>
      <c r="DC17" s="256">
        <f>IF(ZVAL=1,1,IF(LPG&gt;0,0.72*(AG/(LPG^2))^0.3,0))</f>
        <v>1</v>
      </c>
      <c r="DD17" s="256">
        <f>AG*EFG</f>
        <v>19.205497999999999</v>
      </c>
      <c r="DE17" s="256">
        <f>IF(AZ17&gt;0,'Look Ups'!$S$3,0)</f>
        <v>1</v>
      </c>
      <c r="DF17" s="256">
        <f>IF(LPS&gt;0,0.72*(AS/(LPS^2))^0.3,0)</f>
        <v>0</v>
      </c>
      <c r="DG17" s="256">
        <f>EFS*AS</f>
        <v>0</v>
      </c>
      <c r="DH17" s="256">
        <f>IF(LPD&gt;0,0.72*(AD/(LPD^2))^0.3,0)</f>
        <v>0</v>
      </c>
      <c r="DI17" s="280">
        <f>IF((AD-AG)&gt;0,0.3*(AD-AG)*EFD,0)</f>
        <v>0</v>
      </c>
      <c r="DJ17" s="295" t="str">
        <f>IF((SCRF=0),"-",IF(AND(MSASC&gt;AG,SCRMG&lt;(0.75*SCRF)),"valid","ERROR"))</f>
        <v>valid</v>
      </c>
      <c r="DK17" s="266" t="str">
        <f>IF((SF=0),"-",IF((SMG&lt;(0.75*SF)),"ERROR",IF(AND(MSASP&gt;MSASC,MSASP&gt;AG,MSASP&gt;=0.36*RSAM),"valid","Small")))</f>
        <v>valid</v>
      </c>
      <c r="DL17" s="267" t="str">
        <f>IF(C17="","",CONCATENATE("MG",IF(FLSCR="valid","Scr",""),IF(FLSPI="valid","SP","")))</f>
        <v>MGScrSP</v>
      </c>
      <c r="DM17" s="294">
        <f>RSAM+RSAG</f>
        <v>67.084057999999999</v>
      </c>
      <c r="DN17" s="256">
        <f>IF(MSASP&gt;0,'Look Ups'!$AI$4*(ZVAL*MSASP-RSAG),0)</f>
        <v>21.528660599999998</v>
      </c>
      <c r="DO17" s="256">
        <f>IF(AND(MSASC&gt;0,(MSASC&gt;=0.36*RSAM)),('Look Ups'!$AI$3*(ZVAL*MSASC-RSAG)),(0))</f>
        <v>8.8193707000000003</v>
      </c>
      <c r="DP17" s="256">
        <f>IF(MSASP&gt;0,'Look Ups'!$AI$5*(ZVAL*MSASP-RSAG),0)</f>
        <v>20.093416560000001</v>
      </c>
      <c r="DQ17" s="256">
        <f>IF(MSASC&gt;0,'Look Ups'!$AI$6*(MSASC-RSAG),0)</f>
        <v>1.7638741400000002</v>
      </c>
      <c r="DR17" s="280">
        <f>'Look Ups'!$AI$7*MAX(IF(MSAUSC&gt;0,EUSC/100*(MSAUSC-RSAG),0),IF(CR17="Yes",ELSC/100*(MSASC-RSAG),0))</f>
        <v>1.8218090642659193</v>
      </c>
      <c r="DS17" s="280">
        <f>0.36*RSAM</f>
        <v>17.236281599999998</v>
      </c>
      <c r="DT17" s="296">
        <f>_xlfn.IFS(SPC="MG",RAMG+DS17,SPC="MGScr",RAMG+RASCO,SPC="MGSp",RAMG+RASPO,SPC="MGScrSp",RAMG+RASPSC+RASCR)+RAUSC+RSAST+RSAD+RSAMZ+RSA2M</f>
        <v>90.763157764265927</v>
      </c>
      <c r="DU17" s="63"/>
    </row>
    <row r="18" spans="1:125" ht="15.6" customHeight="1" x14ac:dyDescent="0.3">
      <c r="A18" s="4"/>
      <c r="B18" s="64"/>
      <c r="C18" s="64" t="s">
        <v>160</v>
      </c>
      <c r="D18" s="85" t="s">
        <v>161</v>
      </c>
      <c r="E18" s="86" t="s">
        <v>162</v>
      </c>
      <c r="F18" s="252">
        <f ca="1">IF(RW=0,0,ROUND(DLF*0.93*RL^LF*RSA^0.4/RW^0.325,3))</f>
        <v>1.2030000000000001</v>
      </c>
      <c r="G18" s="252" t="str">
        <f ca="1">IF(OR(FLSCR="ERROR",FLSPI="ERROR"),"No",IF(TODAY()-'Look Ups'!$D$4*365&gt;I18,"WP Applied","Yes"))</f>
        <v>Yes</v>
      </c>
      <c r="H18" s="253" t="str">
        <f>IF(SPC="","",CONCATENATE("Main-Genoa",IF(FLSCR="valid",IF(OR(CR18="Yes",MSAUSC&gt;0),"-Screacher (Upwind)","-Screacher"),""),IF(FLSPI="valid","-Spinnaker",""),IF(RSAMZ&gt;0,"-Mizzen",""),IF(RSA2M&gt;0,"-Second Main",""),IF(AS&gt;0,"-Staysail",""),IF(AD&gt;0,"-Drifter","")))</f>
        <v>Main-Genoa-Screacher</v>
      </c>
      <c r="I18" s="1">
        <v>44781</v>
      </c>
      <c r="J18" s="1">
        <v>45156</v>
      </c>
      <c r="K18" s="87" t="s">
        <v>1127</v>
      </c>
      <c r="L18" s="87" t="s">
        <v>164</v>
      </c>
      <c r="M18" s="207"/>
      <c r="N18" s="88" t="s">
        <v>165</v>
      </c>
      <c r="O18" s="88"/>
      <c r="P18" s="100"/>
      <c r="Q18" s="90">
        <v>11.9</v>
      </c>
      <c r="R18" s="87"/>
      <c r="S18" s="256">
        <f>IF((LOAA&gt;LOA),0.025*LOAA,0.025*LOA)</f>
        <v>0.29750000000000004</v>
      </c>
      <c r="T18" s="91"/>
      <c r="U18" s="91"/>
      <c r="V18" s="258">
        <f>IF((_xlfn.SINGLE(LOAA)&gt;_xlfn.SINGLE(LOA)),_xlfn.SINGLE(LOAA),_xlfn.SINGLE(LOA)-_xlfn.SINGLE(FOC)-_xlfn.SINGLE(AOC))</f>
        <v>11.9</v>
      </c>
      <c r="W18" s="259">
        <f>IF(RL&gt;0,IF(RL&gt;'Look Ups'!Y$7,'Look Ups'!Y$8,('Look Ups'!Y$3*RL^3+'Look Ups'!Y$4*RL^2+'Look Ups'!Y$5*RL+'Look Ups'!Y$6)),0)</f>
        <v>0.29990624700000001</v>
      </c>
      <c r="X18" s="92">
        <v>1570</v>
      </c>
      <c r="Y18" s="263">
        <f ca="1">IF(WDATE&lt;(TODAY()-'Look Ups'!$D$4*365),-WM*'Look Ups'!$D$5/100,0)</f>
        <v>0</v>
      </c>
      <c r="Z18" s="103"/>
      <c r="AA18" s="104"/>
      <c r="AB18" s="106"/>
      <c r="AC18" s="268">
        <f>WCD+NC*'Look Ups'!$AF$3</f>
        <v>0</v>
      </c>
      <c r="AD18" s="268">
        <f ca="1">IF(RL&lt;'Look Ups'!AM$3,'Look Ups'!AM$4,IF(RL&gt;'Look Ups'!AM$5,'Look Ups'!AM$6,(RL-'Look Ups'!AM$3)/('Look Ups'!AM$5-'Look Ups'!AM$3)*('Look Ups'!AM$6-'Look Ups'!AM$4)+'Look Ups'!AM$4))/100*WS</f>
        <v>174.12727272727264</v>
      </c>
      <c r="AE18" s="269">
        <f ca="1">WM+WP+WE</f>
        <v>1570</v>
      </c>
      <c r="AF18" s="267">
        <f ca="1">_xlfn.SINGLE(WS)+IF(_xlfn.SINGLE(TCW)&gt;=_xlfn.SINGLE(CWA),_xlfn.SINGLE(CWA),_xlfn.SINGLE(TCW))</f>
        <v>1570</v>
      </c>
      <c r="AG18" s="94" t="s">
        <v>145</v>
      </c>
      <c r="AH18" s="95" t="s">
        <v>146</v>
      </c>
      <c r="AI18" s="96" t="s">
        <v>147</v>
      </c>
      <c r="AJ18" s="218"/>
      <c r="AK18" s="273">
        <f>IF(C18="",0,VLOOKUP(AG18,'Look Ups'!$F$3:$G$6,2,0)*VLOOKUP(AH18,'Look Ups'!$I$3:$J$5,2,0)*VLOOKUP(AI18,'Look Ups'!$L$3:$M$7,2,0)*IF(AJ18="",1,VLOOKUP(AJ18,'Look Ups'!$O$3:$P$4,2,0)))</f>
        <v>1</v>
      </c>
      <c r="AL18" s="83">
        <v>17.690000000000001</v>
      </c>
      <c r="AM18" s="91">
        <v>17.41</v>
      </c>
      <c r="AN18" s="91">
        <v>4.96</v>
      </c>
      <c r="AO18" s="91">
        <v>2.0699999999999998</v>
      </c>
      <c r="AP18" s="91">
        <v>0.23</v>
      </c>
      <c r="AQ18" s="91">
        <v>17.66</v>
      </c>
      <c r="AR18" s="91">
        <v>0.26</v>
      </c>
      <c r="AS18" s="91">
        <v>5.01</v>
      </c>
      <c r="AT18" s="91">
        <v>0.02</v>
      </c>
      <c r="AU18" s="91">
        <v>0.77</v>
      </c>
      <c r="AV18" s="91" t="s">
        <v>148</v>
      </c>
      <c r="AW18" s="97"/>
      <c r="AX18" s="256">
        <f>P+ER</f>
        <v>17.68</v>
      </c>
      <c r="AY18" s="256">
        <f>P*0.375*MC</f>
        <v>5.0993250000000003</v>
      </c>
      <c r="AZ18" s="275">
        <f>IF(C18="",0,(0.5*(_ML1*LPM)+0.5*(_ML1*HB)+0.66*(P*PR)+0.66*(_ML2*RDM)+0.66*(E*ER))*VLOOKUP(BATT,'Look Ups'!$U$3:$V$4,2,0))</f>
        <v>67.919775999999999</v>
      </c>
      <c r="BA18" s="98"/>
      <c r="BB18" s="99"/>
      <c r="BC18" s="83">
        <v>9.65</v>
      </c>
      <c r="BD18" s="91">
        <v>3.35</v>
      </c>
      <c r="BE18" s="91">
        <v>3.48</v>
      </c>
      <c r="BF18" s="91">
        <v>0.1</v>
      </c>
      <c r="BG18" s="91">
        <v>9.32</v>
      </c>
      <c r="BH18" s="91">
        <v>9.25</v>
      </c>
      <c r="BI18" s="91">
        <v>0.15</v>
      </c>
      <c r="BJ18" s="91">
        <v>0.03</v>
      </c>
      <c r="BK18" s="91">
        <v>0.1</v>
      </c>
      <c r="BL18" s="97"/>
      <c r="BM18" s="275">
        <f>(0.5*LL*LPG)+(0.5*_LG1*HG)+(0.66*LL*LLRG)+(0.66*FG*FRG)+(IF((HG&gt;0),(0.66*_LG2*LRG),(0.66*_LG1*LRG)))</f>
        <v>17.912480000000002</v>
      </c>
      <c r="BN18" s="282"/>
      <c r="BO18" s="283"/>
      <c r="BP18" s="284"/>
      <c r="BQ18" s="284"/>
      <c r="BR18" s="283"/>
      <c r="BS18" s="284"/>
      <c r="BT18" s="284"/>
      <c r="BU18" s="280">
        <f>(0.5*LLS*LPS)+(0.66*LLS*LLRS)+(0.66*LS*LRS)+(0.66*FS*FRS)</f>
        <v>0</v>
      </c>
      <c r="BV18" s="285"/>
      <c r="BW18" s="283"/>
      <c r="BX18" s="283"/>
      <c r="BY18" s="283"/>
      <c r="BZ18" s="283"/>
      <c r="CA18" s="283"/>
      <c r="CB18" s="283"/>
      <c r="CC18" s="275">
        <f>(0.5*LLD*LPD)+(0.66*LLD*LLRD)+(0.66*LCHD*LRD)+(0.66*FD*FRD)</f>
        <v>0</v>
      </c>
      <c r="CD18" s="98"/>
      <c r="CE18" s="91"/>
      <c r="CF18" s="91"/>
      <c r="CG18" s="91"/>
      <c r="CH18" s="266" t="str">
        <f>IF(SF&gt;0,SMG/SF*100,"")</f>
        <v/>
      </c>
      <c r="CI18" s="283"/>
      <c r="CJ18" s="280">
        <f>SF*(_SL1+_SL2)/4+(SMG-SF/2)*(_SL1+_SL2)/3</f>
        <v>0</v>
      </c>
      <c r="CK18" s="83">
        <v>9.81</v>
      </c>
      <c r="CL18" s="91">
        <v>17.96</v>
      </c>
      <c r="CM18" s="91">
        <v>14.08</v>
      </c>
      <c r="CN18" s="91">
        <v>6.29</v>
      </c>
      <c r="CO18" s="256">
        <f>IF(SCRF&gt;0,SCRMG/SCRF*100,"")</f>
        <v>64.118246687054025</v>
      </c>
      <c r="CP18" s="283"/>
      <c r="CQ18" s="256">
        <f>SCRF*(SCRL1+SCRL2)/4+(SCRMG-SCRF/2)*(SCRL1+SCRL2)/3</f>
        <v>93.369900000000001</v>
      </c>
      <c r="CR18" s="256" t="str">
        <f>IF(CO18&lt;'Look Ups'!$AC$4,"Yes","No")</f>
        <v>No</v>
      </c>
      <c r="CS18" s="267">
        <f>IF(CR18="Yes",MIN(150,('Look Ups'!$AC$4-PSCR)/('Look Ups'!$AC$4-'Look Ups'!$AC$3)*100),0)</f>
        <v>0</v>
      </c>
      <c r="CT18" s="83"/>
      <c r="CU18" s="91"/>
      <c r="CV18" s="91"/>
      <c r="CW18" s="91"/>
      <c r="CX18" s="256" t="str">
        <f>IF(USCRF&gt;0,USCRMG/USCRF*100,"")</f>
        <v/>
      </c>
      <c r="CY18" s="293">
        <f>IF(PUSCR&lt;'Look Ups'!$AC$4,MIN(150,('Look Ups'!$AC$4-PUSCR)/('Look Ups'!$AC$4-'Look Ups'!$AC$3)*100),0)</f>
        <v>0</v>
      </c>
      <c r="CZ18" s="275">
        <f>IF(PUSCR&lt;'Look Ups'!$AC$4,USCRF*(USCRL1+USCRL2)/4+(USCRMG-USCRF/2)*(USCRL1+USCRL2)/3,0)</f>
        <v>0</v>
      </c>
      <c r="DA18" s="294">
        <f>IF(ZVAL=1,1,IF(LPM&gt;0,0.64*((AM+MAM)/(E+(MC/2))^2)^0.3,0))</f>
        <v>1</v>
      </c>
      <c r="DB18" s="256">
        <f>0.65*((AM+MAM)*EFM)+0.35*((AM+MAM)*ZVAL)</f>
        <v>73.019101000000006</v>
      </c>
      <c r="DC18" s="256">
        <f>IF(ZVAL=1,1,IF(LPG&gt;0,0.72*(AG/(LPG^2))^0.3,0))</f>
        <v>1</v>
      </c>
      <c r="DD18" s="256">
        <f>AG*EFG</f>
        <v>17.912480000000002</v>
      </c>
      <c r="DE18" s="256">
        <f>IF(AZ18&gt;0,'Look Ups'!$S$3,0)</f>
        <v>1</v>
      </c>
      <c r="DF18" s="256">
        <f>IF(LPS&gt;0,0.72*(AS/(LPS^2))^0.3,0)</f>
        <v>0</v>
      </c>
      <c r="DG18" s="256">
        <f>EFS*AS</f>
        <v>0</v>
      </c>
      <c r="DH18" s="256">
        <f>IF(LPD&gt;0,0.72*(AD/(LPD^2))^0.3,0)</f>
        <v>0</v>
      </c>
      <c r="DI18" s="280">
        <f>IF((AD-AG)&gt;0,0.3*(AD-AG)*EFD,0)</f>
        <v>0</v>
      </c>
      <c r="DJ18" s="295" t="str">
        <f>IF((SCRF=0),"-",IF(AND(MSASC&gt;AG,SCRMG&lt;(0.75*SCRF)),"valid","ERROR"))</f>
        <v>valid</v>
      </c>
      <c r="DK18" s="266" t="str">
        <f>IF((SF=0),"-",IF((SMG&lt;(0.75*SF)),"ERROR",IF(AND(MSASP&gt;MSASC,MSASP&gt;AG,MSASP&gt;=0.36*RSAM),"valid","Small")))</f>
        <v>-</v>
      </c>
      <c r="DL18" s="267" t="str">
        <f>IF(C18="","",CONCATENATE("MG",IF(FLSCR="valid","Scr",""),IF(FLSPI="valid","SP","")))</f>
        <v>MGScr</v>
      </c>
      <c r="DM18" s="294">
        <f>RSAM+RSAG</f>
        <v>90.931581000000008</v>
      </c>
      <c r="DN18" s="256">
        <f>IF(MSASP&gt;0,'Look Ups'!$AI$4*(ZVAL*MSASP-RSAG),0)</f>
        <v>0</v>
      </c>
      <c r="DO18" s="256">
        <f>IF(AND(MSASC&gt;0,(MSASC&gt;=0.36*RSAM)),('Look Ups'!$AI$3*(ZVAL*MSASC-RSAG)),(0))</f>
        <v>26.410096999999997</v>
      </c>
      <c r="DP18" s="256">
        <f>IF(MSASP&gt;0,'Look Ups'!$AI$5*(ZVAL*MSASP-RSAG),0)</f>
        <v>0</v>
      </c>
      <c r="DQ18" s="256">
        <f>IF(MSASC&gt;0,'Look Ups'!$AI$6*(MSASC-RSAG),0)</f>
        <v>5.2820194000000003</v>
      </c>
      <c r="DR18" s="280">
        <f>'Look Ups'!$AI$7*MAX(IF(MSAUSC&gt;0,EUSC/100*(MSAUSC-RSAG),0),IF(CR18="Yes",ELSC/100*(MSASC-RSAG),0))</f>
        <v>0</v>
      </c>
      <c r="DS18" s="280">
        <f>0.36*RSAM</f>
        <v>26.286876360000001</v>
      </c>
      <c r="DT18" s="296">
        <f>_xlfn.IFS(SPC="MG",RAMG+DS18,SPC="MGScr",RAMG+RASCO,SPC="MGSp",RAMG+RASPO,SPC="MGScrSp",RAMG+RASPSC+RASCR)+RAUSC+RSAST+RSAD+RSAMZ+RSA2M</f>
        <v>117.341678</v>
      </c>
      <c r="DU18" s="63"/>
    </row>
    <row r="19" spans="1:125" ht="15.6" customHeight="1" x14ac:dyDescent="0.3">
      <c r="A19" s="4"/>
      <c r="B19" s="64"/>
      <c r="C19" s="64" t="s">
        <v>166</v>
      </c>
      <c r="D19" s="101" t="s">
        <v>167</v>
      </c>
      <c r="E19" s="86" t="s">
        <v>168</v>
      </c>
      <c r="F19" s="252">
        <f ca="1">IF(RW=0,0,ROUND(DLF*0.93*RL^LF*RSA^0.4/RW^0.325,3))</f>
        <v>0.88500000000000001</v>
      </c>
      <c r="G19" s="252" t="str">
        <f ca="1">IF(OR(FLSCR="ERROR",FLSPI="ERROR"),"No",IF(TODAY()-'Look Ups'!$D$4*365&gt;I19,"WP Applied","Yes"))</f>
        <v>WP Applied</v>
      </c>
      <c r="H19" s="253" t="str">
        <f>IF(SPC="","",CONCATENATE("Main-Genoa",IF(FLSCR="valid",IF(OR(CR19="Yes",MSAUSC&gt;0),"-Screacher (Upwind)","-Screacher"),""),IF(FLSPI="valid","-Spinnaker",""),IF(RSAMZ&gt;0,"-Mizzen",""),IF(RSA2M&gt;0,"-Second Main",""),IF(AS&gt;0,"-Staysail",""),IF(AD&gt;0,"-Drifter","")))</f>
        <v>Main-Genoa-Screacher (Upwind)-Spinnaker</v>
      </c>
      <c r="I19" s="1">
        <v>40493</v>
      </c>
      <c r="J19" s="1">
        <v>42781</v>
      </c>
      <c r="K19" s="87" t="s">
        <v>169</v>
      </c>
      <c r="L19" s="87" t="s">
        <v>170</v>
      </c>
      <c r="M19" s="207"/>
      <c r="N19" s="97" t="s">
        <v>165</v>
      </c>
      <c r="O19" s="97"/>
      <c r="P19" s="102">
        <v>6.2</v>
      </c>
      <c r="Q19" s="90">
        <v>11.21</v>
      </c>
      <c r="R19" s="87"/>
      <c r="S19" s="256">
        <f>IF((LOAA&gt;LOA),0.025*LOAA,0.025*LOA)</f>
        <v>0.28025000000000005</v>
      </c>
      <c r="T19" s="91">
        <v>7.0000000000000007E-2</v>
      </c>
      <c r="U19" s="91">
        <v>0</v>
      </c>
      <c r="V19" s="258">
        <f>IF((_xlfn.SINGLE(LOAA)&gt;_xlfn.SINGLE(LOA)),_xlfn.SINGLE(LOAA),_xlfn.SINGLE(LOA)-_xlfn.SINGLE(FOC)-_xlfn.SINGLE(AOC))</f>
        <v>11.14</v>
      </c>
      <c r="W19" s="259">
        <f>IF(RL&gt;0,IF(RL&gt;'Look Ups'!Y$7,'Look Ups'!Y$8,('Look Ups'!Y$3*RL^3+'Look Ups'!Y$4*RL^2+'Look Ups'!Y$5*RL+'Look Ups'!Y$6)),0)</f>
        <v>0.29961205495200005</v>
      </c>
      <c r="X19" s="92">
        <v>3585</v>
      </c>
      <c r="Y19" s="263">
        <f ca="1">IF(WDATE&lt;(TODAY()-'Look Ups'!$D$4*365),-WM*'Look Ups'!$D$5/100,0)</f>
        <v>-537.75</v>
      </c>
      <c r="Z19" s="103"/>
      <c r="AA19" s="104"/>
      <c r="AB19" s="106"/>
      <c r="AC19" s="268">
        <f>WCD+NC*'Look Ups'!$AF$3</f>
        <v>0</v>
      </c>
      <c r="AD19" s="268">
        <f ca="1">IF(RL&lt;'Look Ups'!AM$3,'Look Ups'!AM$4,IF(RL&gt;'Look Ups'!AM$5,'Look Ups'!AM$6,(RL-'Look Ups'!AM$3)/('Look Ups'!AM$5-'Look Ups'!AM$3)*('Look Ups'!AM$6-'Look Ups'!AM$4)+'Look Ups'!AM$4))/100*WS</f>
        <v>422.18263636363633</v>
      </c>
      <c r="AE19" s="269">
        <f ca="1">WM+WP+WE</f>
        <v>3047.25</v>
      </c>
      <c r="AF19" s="267">
        <f ca="1">_xlfn.SINGLE(WS)+IF(_xlfn.SINGLE(TCW)&gt;=_xlfn.SINGLE(CWA),_xlfn.SINGLE(CWA),_xlfn.SINGLE(TCW))</f>
        <v>3047.25</v>
      </c>
      <c r="AG19" s="94" t="s">
        <v>145</v>
      </c>
      <c r="AH19" s="95" t="s">
        <v>146</v>
      </c>
      <c r="AI19" s="96" t="s">
        <v>147</v>
      </c>
      <c r="AJ19" s="218"/>
      <c r="AK19" s="273">
        <f>IF(C19="",0,VLOOKUP(AG19,'Look Ups'!$F$3:$G$6,2,0)*VLOOKUP(AH19,'Look Ups'!$I$3:$J$5,2,0)*VLOOKUP(AI19,'Look Ups'!$L$3:$M$7,2,0)*IF(AJ19="",1,VLOOKUP(AJ19,'Look Ups'!$O$3:$P$4,2,0)))</f>
        <v>1</v>
      </c>
      <c r="AL19" s="83">
        <v>13.03</v>
      </c>
      <c r="AM19" s="91">
        <v>12.68</v>
      </c>
      <c r="AN19" s="91">
        <v>4.95</v>
      </c>
      <c r="AO19" s="91">
        <v>1.89</v>
      </c>
      <c r="AP19" s="91">
        <v>0.24</v>
      </c>
      <c r="AQ19" s="91">
        <v>12.38</v>
      </c>
      <c r="AR19" s="91">
        <v>0.41599999999999998</v>
      </c>
      <c r="AS19" s="91">
        <v>4.3899999999999997</v>
      </c>
      <c r="AT19" s="91">
        <v>6.7000000000000004E-2</v>
      </c>
      <c r="AU19" s="91">
        <v>0</v>
      </c>
      <c r="AV19" s="91" t="s">
        <v>148</v>
      </c>
      <c r="AW19" s="97" t="s">
        <v>171</v>
      </c>
      <c r="AX19" s="256">
        <f>P+ER</f>
        <v>12.447000000000001</v>
      </c>
      <c r="AY19" s="256">
        <f>P*0.375*MC</f>
        <v>0</v>
      </c>
      <c r="AZ19" s="275">
        <f>IF(C19="",0,(0.5*(_ML1*LPM)+0.5*(_ML1*HB)+0.66*(P*PR)+0.66*(_ML2*RDM)+0.66*(E*ER))*VLOOKUP(BATT,'Look Ups'!$U$3:$V$4,2,0))</f>
        <v>50.164290600000001</v>
      </c>
      <c r="BA19" s="98"/>
      <c r="BB19" s="99"/>
      <c r="BC19" s="83">
        <v>12.25</v>
      </c>
      <c r="BD19" s="91">
        <v>4.18</v>
      </c>
      <c r="BE19" s="91">
        <v>4.72</v>
      </c>
      <c r="BF19" s="91">
        <v>0.05</v>
      </c>
      <c r="BG19" s="91">
        <v>10.76</v>
      </c>
      <c r="BH19" s="91"/>
      <c r="BI19" s="91"/>
      <c r="BJ19" s="91">
        <v>-0.26</v>
      </c>
      <c r="BK19" s="91">
        <v>0.08</v>
      </c>
      <c r="BL19" s="97" t="s">
        <v>171</v>
      </c>
      <c r="BM19" s="275">
        <f>(0.5*LL*LPG)+(0.5*_LG1*HG)+(0.66*LL*LLRG)+(0.66*FG*FRG)+(IF((HG&gt;0),(0.66*_LG2*LRG),(0.66*_LG1*LRG)))</f>
        <v>24.558643999999997</v>
      </c>
      <c r="BN19" s="282"/>
      <c r="BO19" s="283"/>
      <c r="BP19" s="284"/>
      <c r="BQ19" s="284"/>
      <c r="BR19" s="283"/>
      <c r="BS19" s="284"/>
      <c r="BT19" s="284"/>
      <c r="BU19" s="280">
        <f>(0.5*LLS*LPS)+(0.66*LLS*LLRS)+(0.66*LS*LRS)+(0.66*FS*FRS)</f>
        <v>0</v>
      </c>
      <c r="BV19" s="285"/>
      <c r="BW19" s="283"/>
      <c r="BX19" s="283"/>
      <c r="BY19" s="283"/>
      <c r="BZ19" s="283"/>
      <c r="CA19" s="283"/>
      <c r="CB19" s="283"/>
      <c r="CC19" s="275">
        <f>(0.5*LLD*LPD)+(0.66*LLD*LLRD)+(0.66*LCHD*LRD)+(0.66*FD*FRD)</f>
        <v>0</v>
      </c>
      <c r="CD19" s="98">
        <v>8.9</v>
      </c>
      <c r="CE19" s="91">
        <v>14.29</v>
      </c>
      <c r="CF19" s="91">
        <v>12.695</v>
      </c>
      <c r="CG19" s="91">
        <v>9</v>
      </c>
      <c r="CH19" s="266">
        <f>IF(SF&gt;0,SMG/SF*100,"")</f>
        <v>101.12359550561798</v>
      </c>
      <c r="CI19" s="286"/>
      <c r="CJ19" s="280">
        <f>SF*(_SL1+_SL2)/4+(SMG-SF/2)*(_SL1+_SL2)/3</f>
        <v>100.968875</v>
      </c>
      <c r="CK19" s="83">
        <v>6.92</v>
      </c>
      <c r="CL19" s="91">
        <v>13.44</v>
      </c>
      <c r="CM19" s="91">
        <v>10.11</v>
      </c>
      <c r="CN19" s="91">
        <v>3.5019999999999998</v>
      </c>
      <c r="CO19" s="256">
        <f>IF(SCRF&gt;0,SCRMG/SCRF*100,"")</f>
        <v>50.606936416184965</v>
      </c>
      <c r="CP19" s="286"/>
      <c r="CQ19" s="256">
        <f>SCRF*(SCRL1+SCRL2)/4+(SCRMG-SCRF/2)*(SCRL1+SCRL2)/3</f>
        <v>41.07119999999999</v>
      </c>
      <c r="CR19" s="256" t="str">
        <f>IF(CO19&lt;'Look Ups'!$AC$4,"Yes","No")</f>
        <v>Yes</v>
      </c>
      <c r="CS19" s="267">
        <f>IF(CR19="Yes",MIN(150,('Look Ups'!$AC$4-PSCR)/('Look Ups'!$AC$4-'Look Ups'!$AC$3)*100),0)</f>
        <v>27.861271676300703</v>
      </c>
      <c r="CT19" s="83"/>
      <c r="CU19" s="91"/>
      <c r="CV19" s="91"/>
      <c r="CW19" s="91"/>
      <c r="CX19" s="256" t="str">
        <f>IF(USCRF&gt;0,USCRMG/USCRF*100,"")</f>
        <v/>
      </c>
      <c r="CY19" s="293">
        <f>IF(PUSCR&lt;'Look Ups'!$AC$4,MIN(150,('Look Ups'!$AC$4-PUSCR)/('Look Ups'!$AC$4-'Look Ups'!$AC$3)*100),0)</f>
        <v>0</v>
      </c>
      <c r="CZ19" s="275">
        <f>IF(PUSCR&lt;'Look Ups'!$AC$4,USCRF*(USCRL1+USCRL2)/4+(USCRMG-USCRF/2)*(USCRL1+USCRL2)/3,0)</f>
        <v>0</v>
      </c>
      <c r="DA19" s="294">
        <f>IF(ZVAL=1,1,IF(LPM&gt;0,0.64*((AM+MAM)/(E+(MC/2))^2)^0.3,0))</f>
        <v>1</v>
      </c>
      <c r="DB19" s="256">
        <f>0.65*((AM+MAM)*EFM)+0.35*((AM+MAM)*ZVAL)</f>
        <v>50.164290600000001</v>
      </c>
      <c r="DC19" s="256">
        <f>IF(ZVAL=1,1,IF(LPG&gt;0,0.72*(AG/(LPG^2))^0.3,0))</f>
        <v>1</v>
      </c>
      <c r="DD19" s="256">
        <f>AG*EFG</f>
        <v>24.558643999999997</v>
      </c>
      <c r="DE19" s="256">
        <f>IF(AZ19&gt;0,'Look Ups'!$S$3,0)</f>
        <v>1</v>
      </c>
      <c r="DF19" s="256">
        <f>IF(LPS&gt;0,0.72*(AS/(LPS^2))^0.3,0)</f>
        <v>0</v>
      </c>
      <c r="DG19" s="256">
        <f>EFS*AS</f>
        <v>0</v>
      </c>
      <c r="DH19" s="256">
        <f>IF(LPD&gt;0,0.72*(AD/(LPD^2))^0.3,0)</f>
        <v>0</v>
      </c>
      <c r="DI19" s="280">
        <f>IF((AD-AG)&gt;0,0.3*(AD-AG)*EFD,0)</f>
        <v>0</v>
      </c>
      <c r="DJ19" s="295" t="str">
        <f>IF((SCRF=0),"-",IF(AND(MSASC&gt;AG,SCRMG&lt;(0.75*SCRF)),"valid","ERROR"))</f>
        <v>valid</v>
      </c>
      <c r="DK19" s="266" t="str">
        <f>IF((SF=0),"-",IF((SMG&lt;(0.75*SF)),"ERROR",IF(AND(MSASP&gt;MSASC,MSASP&gt;AG,MSASP&gt;=0.36*RSAM),"valid","Small")))</f>
        <v>valid</v>
      </c>
      <c r="DL19" s="267" t="str">
        <f>IF(C19="","",CONCATENATE("MG",IF(FLSCR="valid","Scr",""),IF(FLSPI="valid","SP","")))</f>
        <v>MGScrSP</v>
      </c>
      <c r="DM19" s="294">
        <f>RSAM+RSAG</f>
        <v>74.722934600000002</v>
      </c>
      <c r="DN19" s="256">
        <f>IF(MSASP&gt;0,'Look Ups'!$AI$4*(ZVAL*MSASP-RSAG),0)</f>
        <v>22.923069299999998</v>
      </c>
      <c r="DO19" s="256">
        <f>IF(AND(MSASC&gt;0,(MSASC&gt;=0.36*RSAM)),('Look Ups'!$AI$3*(ZVAL*MSASC-RSAG)),(0))</f>
        <v>5.7793945999999972</v>
      </c>
      <c r="DP19" s="256">
        <f>IF(MSASP&gt;0,'Look Ups'!$AI$5*(ZVAL*MSASP-RSAG),0)</f>
        <v>21.394864680000001</v>
      </c>
      <c r="DQ19" s="256">
        <f>IF(MSASC&gt;0,'Look Ups'!$AI$6*(MSASC-RSAG),0)</f>
        <v>1.1558789199999997</v>
      </c>
      <c r="DR19" s="280">
        <f>'Look Ups'!$AI$7*MAX(IF(MSAUSC&gt;0,EUSC/100*(MSAUSC-RSAG),0),IF(CR19="Yes",ELSC/100*(MSASC-RSAG),0))</f>
        <v>1.1501520219653225</v>
      </c>
      <c r="DS19" s="280">
        <f>0.36*RSAM</f>
        <v>18.059144616000001</v>
      </c>
      <c r="DT19" s="296">
        <f>_xlfn.IFS(SPC="MG",RAMG+DS19,SPC="MGScr",RAMG+RASCO,SPC="MGSp",RAMG+RASPO,SPC="MGScrSp",RAMG+RASPSC+RASCR)+RAUSC+RSAST+RSAD+RSAMZ+RSA2M</f>
        <v>98.423830221965332</v>
      </c>
      <c r="DU19" s="63"/>
    </row>
    <row r="20" spans="1:125" ht="15.6" customHeight="1" x14ac:dyDescent="0.3">
      <c r="A20" s="4"/>
      <c r="B20" s="64"/>
      <c r="C20" s="64" t="s">
        <v>172</v>
      </c>
      <c r="D20" s="101" t="s">
        <v>173</v>
      </c>
      <c r="E20" s="86" t="s">
        <v>174</v>
      </c>
      <c r="F20" s="252">
        <f ca="1">IF(RW=0,0,ROUND(DLF*0.93*RL^LF*RSA^0.4/RW^0.325,3))</f>
        <v>0.84199999999999997</v>
      </c>
      <c r="G20" s="252" t="str">
        <f ca="1">IF(OR(FLSCR="ERROR",FLSPI="ERROR"),"No",IF(TODAY()-'Look Ups'!$D$4*365&gt;I20,"WP Applied","Yes"))</f>
        <v>Yes</v>
      </c>
      <c r="H20" s="253" t="str">
        <f>IF(SPC="","",CONCATENATE("Main-Genoa",IF(FLSCR="valid",IF(OR(CR20="Yes",MSAUSC&gt;0),"-Screacher (Upwind)","-Screacher"),""),IF(FLSPI="valid","-Spinnaker",""),IF(RSAMZ&gt;0,"-Mizzen",""),IF(RSA2M&gt;0,"-Second Main",""),IF(AS&gt;0,"-Staysail",""),IF(AD&gt;0,"-Drifter","")))</f>
        <v>Main-Genoa-Screacher-Spinnaker</v>
      </c>
      <c r="I20" s="1">
        <v>44004</v>
      </c>
      <c r="J20" s="1">
        <v>44004</v>
      </c>
      <c r="K20" s="87" t="s">
        <v>175</v>
      </c>
      <c r="L20" s="87" t="s">
        <v>176</v>
      </c>
      <c r="M20" s="207"/>
      <c r="N20" s="97" t="s">
        <v>165</v>
      </c>
      <c r="O20" s="97"/>
      <c r="P20" s="102">
        <v>7.5</v>
      </c>
      <c r="Q20" s="90">
        <v>16.25</v>
      </c>
      <c r="R20" s="87"/>
      <c r="S20" s="256">
        <f>IF((LOAA&gt;LOA),0.025*LOAA,0.025*LOA)</f>
        <v>0.40625</v>
      </c>
      <c r="T20" s="91"/>
      <c r="U20" s="91"/>
      <c r="V20" s="258">
        <f>IF((_xlfn.SINGLE(LOAA)&gt;_xlfn.SINGLE(LOA)),_xlfn.SINGLE(LOAA),_xlfn.SINGLE(LOA)-_xlfn.SINGLE(FOC)-_xlfn.SINGLE(AOC))</f>
        <v>16.25</v>
      </c>
      <c r="W20" s="259">
        <f>IF(RL&gt;0,IF(RL&gt;'Look Ups'!Y$7,'Look Ups'!Y$8,('Look Ups'!Y$3*RL^3+'Look Ups'!Y$4*RL^2+'Look Ups'!Y$5*RL+'Look Ups'!Y$6)),0)</f>
        <v>0.3</v>
      </c>
      <c r="X20" s="92">
        <v>9827</v>
      </c>
      <c r="Y20" s="262">
        <f ca="1">IF(WDATE&lt;(TODAY()-'Look Ups'!$D$4*365),-WM*'Look Ups'!$D$5/100,0)</f>
        <v>0</v>
      </c>
      <c r="Z20" s="93"/>
      <c r="AA20" s="93"/>
      <c r="AB20" s="75"/>
      <c r="AC20" s="268">
        <f>WCD+NC*'Look Ups'!$AF$3</f>
        <v>0</v>
      </c>
      <c r="AD20" s="268">
        <f ca="1">IF(RL&lt;'Look Ups'!AM$3,'Look Ups'!AM$4,IF(RL&gt;'Look Ups'!AM$5,'Look Ups'!AM$6,(RL-'Look Ups'!AM$3)/('Look Ups'!AM$5-'Look Ups'!AM$3)*('Look Ups'!AM$6-'Look Ups'!AM$4)+'Look Ups'!AM$4))/100*WS</f>
        <v>982.7</v>
      </c>
      <c r="AE20" s="266">
        <f ca="1">WM+WP+WE</f>
        <v>9827</v>
      </c>
      <c r="AF20" s="267">
        <f ca="1">_xlfn.SINGLE(WS)+IF(_xlfn.SINGLE(TCW)&gt;=_xlfn.SINGLE(CWA),_xlfn.SINGLE(CWA),_xlfn.SINGLE(TCW))</f>
        <v>9827</v>
      </c>
      <c r="AG20" s="94" t="s">
        <v>145</v>
      </c>
      <c r="AH20" s="95" t="s">
        <v>146</v>
      </c>
      <c r="AI20" s="96" t="s">
        <v>177</v>
      </c>
      <c r="AJ20" s="218"/>
      <c r="AK20" s="273">
        <f>IF(C20="",0,VLOOKUP(AG20,'Look Ups'!$F$3:$G$6,2,0)*VLOOKUP(AH20,'Look Ups'!$I$3:$J$5,2,0)*VLOOKUP(AI20,'Look Ups'!$L$3:$M$7,2,0)*IF(AJ20="",1,VLOOKUP(AJ20,'Look Ups'!$O$3:$P$4,2,0)))</f>
        <v>0.99</v>
      </c>
      <c r="AL20" s="83">
        <v>18.88</v>
      </c>
      <c r="AM20" s="91">
        <v>18.75</v>
      </c>
      <c r="AN20" s="91">
        <v>5.36</v>
      </c>
      <c r="AO20" s="91">
        <v>2.2599999999999998</v>
      </c>
      <c r="AP20" s="91">
        <v>0.57999999999999996</v>
      </c>
      <c r="AQ20" s="91">
        <v>18.71</v>
      </c>
      <c r="AR20" s="91">
        <v>0.15</v>
      </c>
      <c r="AS20" s="91">
        <v>5.45</v>
      </c>
      <c r="AT20" s="91">
        <v>0.06</v>
      </c>
      <c r="AU20" s="91"/>
      <c r="AV20" s="91" t="s">
        <v>148</v>
      </c>
      <c r="AW20" s="97" t="s">
        <v>178</v>
      </c>
      <c r="AX20" s="256">
        <f>P+ER</f>
        <v>18.77</v>
      </c>
      <c r="AY20" s="256">
        <f>P*0.375*MC</f>
        <v>0</v>
      </c>
      <c r="AZ20" s="275">
        <f>IF(C20="",0,(0.5*(_ML1*LPM)+0.5*(_ML1*HB)+0.66*(P*PR)+0.66*(_ML2*RDM)+0.66*(E*ER))*VLOOKUP(BATT,'Look Ups'!$U$3:$V$4,2,0))</f>
        <v>81.178409999999971</v>
      </c>
      <c r="BA20" s="98"/>
      <c r="BB20" s="99"/>
      <c r="BC20" s="83">
        <v>17.72</v>
      </c>
      <c r="BD20" s="91">
        <v>6.3</v>
      </c>
      <c r="BE20" s="91">
        <v>6.8</v>
      </c>
      <c r="BF20" s="91">
        <v>0.25</v>
      </c>
      <c r="BG20" s="91">
        <v>16.13</v>
      </c>
      <c r="BH20" s="91"/>
      <c r="BI20" s="91"/>
      <c r="BJ20" s="91">
        <v>0.13</v>
      </c>
      <c r="BK20" s="91">
        <v>0</v>
      </c>
      <c r="BL20" s="97"/>
      <c r="BM20" s="275">
        <f>(0.5*LL*LPG)+(0.5*_LG1*HG)+(0.66*LL*LLRG)+(0.66*FG*FRG)+(IF((HG&gt;0),(0.66*_LG2*LRG),(0.66*_LG1*LRG)))</f>
        <v>58.323954000000001</v>
      </c>
      <c r="BN20" s="282"/>
      <c r="BO20" s="283"/>
      <c r="BP20" s="284"/>
      <c r="BQ20" s="284"/>
      <c r="BR20" s="283"/>
      <c r="BS20" s="284"/>
      <c r="BT20" s="284"/>
      <c r="BU20" s="280">
        <f>(0.5*LLS*LPS)+(0.66*LLS*LLRS)+(0.66*LS*LRS)+(0.66*FS*FRS)</f>
        <v>0</v>
      </c>
      <c r="BV20" s="285"/>
      <c r="BW20" s="283"/>
      <c r="BX20" s="283"/>
      <c r="BY20" s="283"/>
      <c r="BZ20" s="283"/>
      <c r="CA20" s="283"/>
      <c r="CB20" s="283"/>
      <c r="CC20" s="275">
        <f>(0.5*LLD*LPD)+(0.66*LLD*LLRD)+(0.66*LCHD*LRD)+(0.66*FD*FRD)</f>
        <v>0</v>
      </c>
      <c r="CD20" s="98">
        <v>12.24</v>
      </c>
      <c r="CE20" s="91">
        <v>20.05</v>
      </c>
      <c r="CF20" s="91">
        <v>18</v>
      </c>
      <c r="CG20" s="91">
        <v>10.53</v>
      </c>
      <c r="CH20" s="266">
        <f>IF(SF&gt;0,SMG/SF*100,"")</f>
        <v>86.02941176470587</v>
      </c>
      <c r="CI20" s="286"/>
      <c r="CJ20" s="280">
        <f>SF*(_SL1+_SL2)/4+(SMG-SF/2)*(_SL1+_SL2)/3</f>
        <v>172.36649999999997</v>
      </c>
      <c r="CK20" s="83">
        <v>8.9700000000000006</v>
      </c>
      <c r="CL20" s="91">
        <v>19.05</v>
      </c>
      <c r="CM20" s="91">
        <v>16.649999999999999</v>
      </c>
      <c r="CN20" s="91">
        <v>4.68</v>
      </c>
      <c r="CO20" s="256">
        <f>IF(SCRF&gt;0,SCRMG/SCRF*100,"")</f>
        <v>52.173913043478258</v>
      </c>
      <c r="CP20" s="286"/>
      <c r="CQ20" s="256">
        <f>SCRF*(SCRL1+SCRL2)/4+(SCRMG-SCRF/2)*(SCRL1+SCRL2)/3</f>
        <v>82.377750000000006</v>
      </c>
      <c r="CR20" s="256" t="str">
        <f>IF(CO20&lt;'Look Ups'!$AC$4,"Yes","No")</f>
        <v>No</v>
      </c>
      <c r="CS20" s="267">
        <f>IF(CR20="Yes",MIN(150,('Look Ups'!$AC$4-PSCR)/('Look Ups'!$AC$4-'Look Ups'!$AC$3)*100),0)</f>
        <v>0</v>
      </c>
      <c r="CT20" s="83"/>
      <c r="CU20" s="91"/>
      <c r="CV20" s="91"/>
      <c r="CW20" s="91"/>
      <c r="CX20" s="256" t="str">
        <f>IF(USCRF&gt;0,USCRMG/USCRF*100,"")</f>
        <v/>
      </c>
      <c r="CY20" s="293">
        <f>IF(PUSCR&lt;'Look Ups'!$AC$4,MIN(150,('Look Ups'!$AC$4-PUSCR)/('Look Ups'!$AC$4-'Look Ups'!$AC$3)*100),0)</f>
        <v>0</v>
      </c>
      <c r="CZ20" s="275">
        <f>IF(PUSCR&lt;'Look Ups'!$AC$4,USCRF*(USCRL1+USCRL2)/4+(USCRMG-USCRF/2)*(USCRL1+USCRL2)/3,0)</f>
        <v>0</v>
      </c>
      <c r="DA20" s="294">
        <f>IF(ZVAL=1,1,IF(LPM&gt;0,0.64*((AM+MAM)/(E+(MC/2))^2)^0.3,0))</f>
        <v>1</v>
      </c>
      <c r="DB20" s="256">
        <f>0.65*((AM+MAM)*EFM)+0.35*((AM+MAM)*ZVAL)</f>
        <v>81.178409999999971</v>
      </c>
      <c r="DC20" s="256">
        <f>IF(ZVAL=1,1,IF(LPG&gt;0,0.72*(AG/(LPG^2))^0.3,0))</f>
        <v>1</v>
      </c>
      <c r="DD20" s="256">
        <f>AG*EFG</f>
        <v>58.323954000000001</v>
      </c>
      <c r="DE20" s="256">
        <f>IF(AZ20&gt;0,'Look Ups'!$S$3,0)</f>
        <v>1</v>
      </c>
      <c r="DF20" s="256">
        <f>IF(LPS&gt;0,0.72*(AS/(LPS^2))^0.3,0)</f>
        <v>0</v>
      </c>
      <c r="DG20" s="256">
        <f>EFS*AS</f>
        <v>0</v>
      </c>
      <c r="DH20" s="256">
        <f>IF(LPD&gt;0,0.72*(AD/(LPD^2))^0.3,0)</f>
        <v>0</v>
      </c>
      <c r="DI20" s="280">
        <f>IF((AD-AG)&gt;0,0.3*(AD-AG)*EFD,0)</f>
        <v>0</v>
      </c>
      <c r="DJ20" s="295" t="str">
        <f>IF((SCRF=0),"-",IF(AND(MSASC&gt;AG,SCRMG&lt;(0.75*SCRF)),"valid","ERROR"))</f>
        <v>valid</v>
      </c>
      <c r="DK20" s="266" t="str">
        <f>IF((SF=0),"-",IF((SMG&lt;(0.75*SF)),"ERROR",IF(AND(MSASP&gt;MSASC,MSASP&gt;AG,MSASP&gt;=0.36*RSAM),"valid","Small")))</f>
        <v>valid</v>
      </c>
      <c r="DL20" s="267" t="str">
        <f>IF(C20="","",CONCATENATE("MG",IF(FLSCR="valid","Scr",""),IF(FLSPI="valid","SP","")))</f>
        <v>MGScrSP</v>
      </c>
      <c r="DM20" s="294">
        <f>RSAM+RSAG</f>
        <v>139.50236399999997</v>
      </c>
      <c r="DN20" s="256">
        <f>IF(MSASP&gt;0,'Look Ups'!$AI$4*(ZVAL*MSASP-RSAG),0)</f>
        <v>34.212763799999991</v>
      </c>
      <c r="DO20" s="256">
        <f>IF(AND(MSASC&gt;0,(MSASC&gt;=0.36*RSAM)),('Look Ups'!$AI$3*(ZVAL*MSASC-RSAG)),(0))</f>
        <v>8.4188286000000012</v>
      </c>
      <c r="DP20" s="256">
        <f>IF(MSASP&gt;0,'Look Ups'!$AI$5*(ZVAL*MSASP-RSAG),0)</f>
        <v>31.931912879999995</v>
      </c>
      <c r="DQ20" s="256">
        <f>IF(MSASC&gt;0,'Look Ups'!$AI$6*(MSASC-RSAG),0)</f>
        <v>1.6837657200000005</v>
      </c>
      <c r="DR20" s="280">
        <f>'Look Ups'!$AI$7*MAX(IF(MSAUSC&gt;0,EUSC/100*(MSAUSC-RSAG),0),IF(CR20="Yes",ELSC/100*(MSASC-RSAG),0))</f>
        <v>0</v>
      </c>
      <c r="DS20" s="280">
        <f>0.36*RSAM</f>
        <v>29.224227599999988</v>
      </c>
      <c r="DT20" s="296">
        <f>_xlfn.IFS(SPC="MG",RAMG+DS20,SPC="MGScr",RAMG+RASCO,SPC="MGSp",RAMG+RASPO,SPC="MGScrSp",RAMG+RASPSC+RASCR)+RAUSC+RSAST+RSAD+RSAMZ+RSA2M</f>
        <v>173.11804259999997</v>
      </c>
      <c r="DU20" s="63"/>
    </row>
    <row r="21" spans="1:125" ht="15.6" customHeight="1" x14ac:dyDescent="0.3">
      <c r="A21" s="4"/>
      <c r="B21" s="64"/>
      <c r="C21" s="64" t="s">
        <v>179</v>
      </c>
      <c r="D21" s="85" t="s">
        <v>180</v>
      </c>
      <c r="E21" s="86" t="s">
        <v>181</v>
      </c>
      <c r="F21" s="252">
        <f ca="1">IF(RW=0,0,ROUND(DLF*0.93*RL^LF*RSA^0.4/RW^0.325,3))</f>
        <v>0.80400000000000005</v>
      </c>
      <c r="G21" s="252" t="str">
        <f ca="1">IF(OR(FLSCR="ERROR",FLSPI="ERROR"),"No",IF(TODAY()-'Look Ups'!$D$4*365&gt;I21,"WP Applied","Yes"))</f>
        <v>Yes</v>
      </c>
      <c r="H21" s="253" t="str">
        <f>IF(SPC="","",CONCATENATE("Main-Genoa",IF(FLSCR="valid",IF(OR(CR21="Yes",MSAUSC&gt;0),"-Screacher (Upwind)","-Screacher"),""),IF(FLSPI="valid","-Spinnaker",""),IF(RSAMZ&gt;0,"-Mizzen",""),IF(RSA2M&gt;0,"-Second Main",""),IF(AS&gt;0,"-Staysail",""),IF(AD&gt;0,"-Drifter","")))</f>
        <v>Main-Genoa-Screacher-Spinnaker</v>
      </c>
      <c r="I21" s="1">
        <v>43186</v>
      </c>
      <c r="J21" s="1">
        <v>43683</v>
      </c>
      <c r="K21" s="87" t="s">
        <v>182</v>
      </c>
      <c r="L21" s="87" t="s">
        <v>142</v>
      </c>
      <c r="M21" s="207"/>
      <c r="N21" s="88" t="s">
        <v>165</v>
      </c>
      <c r="O21" s="88"/>
      <c r="P21" s="100"/>
      <c r="Q21" s="90">
        <v>15.5</v>
      </c>
      <c r="R21" s="87"/>
      <c r="S21" s="256">
        <f>IF((LOAA&gt;LOA),0.025*LOAA,0.025*LOA)</f>
        <v>0.38750000000000001</v>
      </c>
      <c r="T21" s="117">
        <v>0.08</v>
      </c>
      <c r="U21" s="117">
        <v>0</v>
      </c>
      <c r="V21" s="258">
        <f>IF((_xlfn.SINGLE(LOAA)&gt;_xlfn.SINGLE(LOA)),_xlfn.SINGLE(LOAA),_xlfn.SINGLE(LOA)-_xlfn.SINGLE(FOC)-_xlfn.SINGLE(AOC))</f>
        <v>15.42</v>
      </c>
      <c r="W21" s="259">
        <f>IF(RL&gt;0,IF(RL&gt;'Look Ups'!Y$7,'Look Ups'!Y$8,('Look Ups'!Y$3*RL^3+'Look Ups'!Y$4*RL^2+'Look Ups'!Y$5*RL+'Look Ups'!Y$6)),0)</f>
        <v>0.3</v>
      </c>
      <c r="X21" s="92">
        <v>12983</v>
      </c>
      <c r="Y21" s="263">
        <f ca="1">IF(WDATE&lt;(TODAY()-'Look Ups'!$D$4*365),-WM*'Look Ups'!$D$5/100,0)</f>
        <v>0</v>
      </c>
      <c r="Z21" s="103"/>
      <c r="AA21" s="104"/>
      <c r="AB21" s="106"/>
      <c r="AC21" s="268">
        <f>WCD+NC*'Look Ups'!$AF$3</f>
        <v>0</v>
      </c>
      <c r="AD21" s="268">
        <f ca="1">IF(RL&lt;'Look Ups'!AM$3,'Look Ups'!AM$4,IF(RL&gt;'Look Ups'!AM$5,'Look Ups'!AM$6,(RL-'Look Ups'!AM$3)/('Look Ups'!AM$5-'Look Ups'!AM$3)*('Look Ups'!AM$6-'Look Ups'!AM$4)+'Look Ups'!AM$4))/100*WS</f>
        <v>1298.3000000000002</v>
      </c>
      <c r="AE21" s="269">
        <f ca="1">WM+WP+WE</f>
        <v>12983</v>
      </c>
      <c r="AF21" s="267">
        <f ca="1">_xlfn.SINGLE(WS)+IF(_xlfn.SINGLE(TCW)&gt;=_xlfn.SINGLE(CWA),_xlfn.SINGLE(CWA),_xlfn.SINGLE(TCW))</f>
        <v>12983</v>
      </c>
      <c r="AG21" s="94" t="s">
        <v>145</v>
      </c>
      <c r="AH21" s="95" t="s">
        <v>146</v>
      </c>
      <c r="AI21" s="96" t="s">
        <v>177</v>
      </c>
      <c r="AJ21" s="218"/>
      <c r="AK21" s="273">
        <f>IF(C21="",0,VLOOKUP(AG21,'Look Ups'!$F$3:$G$6,2,0)*VLOOKUP(AH21,'Look Ups'!$I$3:$J$5,2,0)*VLOOKUP(AI21,'Look Ups'!$L$3:$M$7,2,0)*IF(AJ21="",1,VLOOKUP(AJ21,'Look Ups'!$O$3:$P$4,2,0)))</f>
        <v>0.99</v>
      </c>
      <c r="AL21" s="83">
        <v>20.3</v>
      </c>
      <c r="AM21" s="91">
        <v>19.850000000000001</v>
      </c>
      <c r="AN21" s="91">
        <v>6.41</v>
      </c>
      <c r="AO21" s="91">
        <v>1.87</v>
      </c>
      <c r="AP21" s="91">
        <v>0.78</v>
      </c>
      <c r="AQ21" s="91">
        <v>19.600000000000001</v>
      </c>
      <c r="AR21" s="91">
        <v>0.28000000000000003</v>
      </c>
      <c r="AS21" s="91">
        <v>6.68</v>
      </c>
      <c r="AT21" s="91">
        <v>0.06</v>
      </c>
      <c r="AU21" s="91"/>
      <c r="AV21" s="91" t="s">
        <v>148</v>
      </c>
      <c r="AW21" s="97">
        <v>0</v>
      </c>
      <c r="AX21" s="256">
        <f>P+ER</f>
        <v>19.66</v>
      </c>
      <c r="AY21" s="256">
        <f>P*0.375*MC</f>
        <v>0</v>
      </c>
      <c r="AZ21" s="275">
        <f>IF(C21="",0,(0.5*(_ML1*LPM)+0.5*(_ML1*HB)+0.66*(P*PR)+0.66*(_ML2*RDM)+0.66*(E*ER))*VLOOKUP(BATT,'Look Ups'!$U$3:$V$4,2,0))</f>
        <v>98.147388000000021</v>
      </c>
      <c r="BA21" s="98"/>
      <c r="BB21" s="99"/>
      <c r="BC21" s="83">
        <v>17.420000000000002</v>
      </c>
      <c r="BD21" s="91">
        <v>4.55</v>
      </c>
      <c r="BE21" s="91">
        <v>4.7699999999999996</v>
      </c>
      <c r="BF21" s="91">
        <v>0.17</v>
      </c>
      <c r="BG21" s="91">
        <v>16.3</v>
      </c>
      <c r="BH21" s="91"/>
      <c r="BI21" s="91"/>
      <c r="BJ21" s="91">
        <v>-0.16</v>
      </c>
      <c r="BK21" s="91">
        <v>0.13</v>
      </c>
      <c r="BL21" s="97"/>
      <c r="BM21" s="275">
        <f>(0.5*LL*LPG)+(0.5*_LG1*HG)+(0.66*LL*LLRG)+(0.66*FG*FRG)+(IF((HG&gt;0),(0.66*_LG2*LRG),(0.66*_LG1*LRG)))</f>
        <v>39.939050000000002</v>
      </c>
      <c r="BN21" s="282"/>
      <c r="BO21" s="283"/>
      <c r="BP21" s="284"/>
      <c r="BQ21" s="284"/>
      <c r="BR21" s="283"/>
      <c r="BS21" s="284"/>
      <c r="BT21" s="284"/>
      <c r="BU21" s="280">
        <f>(0.5*LLS*LPS)+(0.66*LLS*LLRS)+(0.66*LS*LRS)+(0.66*FS*FRS)</f>
        <v>0</v>
      </c>
      <c r="BV21" s="285"/>
      <c r="BW21" s="283"/>
      <c r="BX21" s="283"/>
      <c r="BY21" s="283"/>
      <c r="BZ21" s="283"/>
      <c r="CA21" s="283"/>
      <c r="CB21" s="283"/>
      <c r="CC21" s="275">
        <f>(0.5*LLD*LPD)+(0.66*LLD*LLRD)+(0.66*LCHD*LRD)+(0.66*FD*FRD)</f>
        <v>0</v>
      </c>
      <c r="CD21" s="98">
        <v>14.2</v>
      </c>
      <c r="CE21" s="91">
        <v>24.63</v>
      </c>
      <c r="CF21" s="91">
        <v>21.9</v>
      </c>
      <c r="CG21" s="91">
        <v>12.6</v>
      </c>
      <c r="CH21" s="266">
        <f>IF(SF&gt;0,SMG/SF*100,"")</f>
        <v>88.732394366197184</v>
      </c>
      <c r="CI21" s="283"/>
      <c r="CJ21" s="280">
        <f>SF*(_SL1+_SL2)/4+(SMG-SF/2)*(_SL1+_SL2)/3</f>
        <v>250.48650000000001</v>
      </c>
      <c r="CK21" s="83">
        <v>11.01</v>
      </c>
      <c r="CL21" s="91">
        <v>18.53</v>
      </c>
      <c r="CM21" s="91">
        <v>16.22</v>
      </c>
      <c r="CN21" s="91">
        <v>6.19</v>
      </c>
      <c r="CO21" s="256">
        <f>IF(SCRF&gt;0,SCRMG/SCRF*100,"")</f>
        <v>56.221616712079935</v>
      </c>
      <c r="CP21" s="283"/>
      <c r="CQ21" s="256">
        <f>SCRF*(SCRL1+SCRL2)/4+(SCRMG-SCRF/2)*(SCRL1+SCRL2)/3</f>
        <v>103.58395833333333</v>
      </c>
      <c r="CR21" s="256" t="str">
        <f>IF(CO21&lt;'Look Ups'!$AC$4,"Yes","No")</f>
        <v>No</v>
      </c>
      <c r="CS21" s="267">
        <f>IF(CR21="Yes",MIN(150,('Look Ups'!$AC$4-PSCR)/('Look Ups'!$AC$4-'Look Ups'!$AC$3)*100),0)</f>
        <v>0</v>
      </c>
      <c r="CT21" s="83"/>
      <c r="CU21" s="91"/>
      <c r="CV21" s="91"/>
      <c r="CW21" s="91"/>
      <c r="CX21" s="256" t="str">
        <f>IF(USCRF&gt;0,USCRMG/USCRF*100,"")</f>
        <v/>
      </c>
      <c r="CY21" s="293">
        <f>IF(PUSCR&lt;'Look Ups'!$AC$4,MIN(150,('Look Ups'!$AC$4-PUSCR)/('Look Ups'!$AC$4-'Look Ups'!$AC$3)*100),0)</f>
        <v>0</v>
      </c>
      <c r="CZ21" s="275">
        <f>IF(PUSCR&lt;'Look Ups'!$AC$4,USCRF*(USCRL1+USCRL2)/4+(USCRMG-USCRF/2)*(USCRL1+USCRL2)/3,0)</f>
        <v>0</v>
      </c>
      <c r="DA21" s="294">
        <f>IF(ZVAL=1,1,IF(LPM&gt;0,0.64*((AM+MAM)/(E+(MC/2))^2)^0.3,0))</f>
        <v>1</v>
      </c>
      <c r="DB21" s="256">
        <f>0.65*((AM+MAM)*EFM)+0.35*((AM+MAM)*ZVAL)</f>
        <v>98.147388000000021</v>
      </c>
      <c r="DC21" s="256">
        <f>IF(ZVAL=1,1,IF(LPG&gt;0,0.72*(AG/(LPG^2))^0.3,0))</f>
        <v>1</v>
      </c>
      <c r="DD21" s="256">
        <f>AG*EFG</f>
        <v>39.939050000000002</v>
      </c>
      <c r="DE21" s="256">
        <f>IF(AZ21&gt;0,'Look Ups'!$S$3,0)</f>
        <v>1</v>
      </c>
      <c r="DF21" s="256">
        <f>IF(LPS&gt;0,0.72*(AS/(LPS^2))^0.3,0)</f>
        <v>0</v>
      </c>
      <c r="DG21" s="256">
        <f>EFS*AS</f>
        <v>0</v>
      </c>
      <c r="DH21" s="256">
        <f>IF(LPD&gt;0,0.72*(AD/(LPD^2))^0.3,0)</f>
        <v>0</v>
      </c>
      <c r="DI21" s="280">
        <f>IF((AD-AG)&gt;0,0.3*(AD-AG)*EFD,0)</f>
        <v>0</v>
      </c>
      <c r="DJ21" s="295" t="str">
        <f>IF((SCRF=0),"-",IF(AND(MSASC&gt;AG,SCRMG&lt;(0.75*SCRF)),"valid","ERROR"))</f>
        <v>valid</v>
      </c>
      <c r="DK21" s="266" t="str">
        <f>IF((SF=0),"-",IF((SMG&lt;(0.75*SF)),"ERROR",IF(AND(MSASP&gt;MSASC,MSASP&gt;AG,MSASP&gt;=0.36*RSAM),"valid","Small")))</f>
        <v>valid</v>
      </c>
      <c r="DL21" s="267" t="str">
        <f>IF(C21="","",CONCATENATE("MG",IF(FLSCR="valid","Scr",""),IF(FLSPI="valid","SP","")))</f>
        <v>MGScrSP</v>
      </c>
      <c r="DM21" s="294">
        <f>RSAM+RSAG</f>
        <v>138.08643800000002</v>
      </c>
      <c r="DN21" s="256">
        <f>IF(MSASP&gt;0,'Look Ups'!$AI$4*(ZVAL*MSASP-RSAG),0)</f>
        <v>63.164234999999998</v>
      </c>
      <c r="DO21" s="256">
        <f>IF(AND(MSASC&gt;0,(MSASC&gt;=0.36*RSAM)),('Look Ups'!$AI$3*(ZVAL*MSASC-RSAG)),(0))</f>
        <v>22.275717916666665</v>
      </c>
      <c r="DP21" s="256">
        <f>IF(MSASP&gt;0,'Look Ups'!$AI$5*(ZVAL*MSASP-RSAG),0)</f>
        <v>58.953286000000006</v>
      </c>
      <c r="DQ21" s="256">
        <f>IF(MSASC&gt;0,'Look Ups'!$AI$6*(MSASC-RSAG),0)</f>
        <v>4.4551435833333333</v>
      </c>
      <c r="DR21" s="280">
        <f>'Look Ups'!$AI$7*MAX(IF(MSAUSC&gt;0,EUSC/100*(MSAUSC-RSAG),0),IF(CR21="Yes",ELSC/100*(MSASC-RSAG),0))</f>
        <v>0</v>
      </c>
      <c r="DS21" s="280">
        <f>0.36*RSAM</f>
        <v>35.333059680000005</v>
      </c>
      <c r="DT21" s="296">
        <f>_xlfn.IFS(SPC="MG",RAMG+DS21,SPC="MGScr",RAMG+RASCO,SPC="MGSp",RAMG+RASPO,SPC="MGScrSp",RAMG+RASPSC+RASCR)+RAUSC+RSAST+RSAD+RSAMZ+RSA2M</f>
        <v>201.49486758333336</v>
      </c>
      <c r="DU21" s="63"/>
    </row>
    <row r="22" spans="1:125" ht="15.6" customHeight="1" x14ac:dyDescent="0.3">
      <c r="A22" s="4"/>
      <c r="B22" s="64"/>
      <c r="C22" s="64" t="s">
        <v>183</v>
      </c>
      <c r="D22" s="85" t="s">
        <v>184</v>
      </c>
      <c r="E22" s="86" t="s">
        <v>185</v>
      </c>
      <c r="F22" s="252">
        <f ca="1">IF(RW=0,0,ROUND(DLF*0.93*RL^LF*RSA^0.4/RW^0.325,3))</f>
        <v>0.99299999999999999</v>
      </c>
      <c r="G22" s="252" t="str">
        <f ca="1">IF(OR(FLSCR="ERROR",FLSPI="ERROR"),"No",IF(TODAY()-'Look Ups'!$D$4*365&gt;I22,"WP Applied","Yes"))</f>
        <v>Yes</v>
      </c>
      <c r="H22" s="253" t="str">
        <f>IF(SPC="","",CONCATENATE("Main-Genoa",IF(FLSCR="valid",IF(OR(CR22="Yes",MSAUSC&gt;0),"-Screacher (Upwind)","-Screacher"),""),IF(FLSPI="valid","-Spinnaker",""),IF(RSAMZ&gt;0,"-Mizzen",""),IF(RSA2M&gt;0,"-Second Main",""),IF(AS&gt;0,"-Staysail",""),IF(AD&gt;0,"-Drifter","")))</f>
        <v>Main-Genoa-Screacher-Spinnaker</v>
      </c>
      <c r="I22" s="1">
        <v>43310</v>
      </c>
      <c r="J22" s="1">
        <v>43314</v>
      </c>
      <c r="K22" s="87" t="s">
        <v>186</v>
      </c>
      <c r="L22" s="87" t="s">
        <v>142</v>
      </c>
      <c r="M22" s="207"/>
      <c r="N22" s="88" t="s">
        <v>143</v>
      </c>
      <c r="O22" s="88"/>
      <c r="P22" s="89">
        <v>11</v>
      </c>
      <c r="Q22" s="90">
        <v>13.85</v>
      </c>
      <c r="R22" s="87"/>
      <c r="S22" s="256">
        <f>IF((LOAA&gt;LOA),0.025*LOAA,0.025*LOA)</f>
        <v>0.34625</v>
      </c>
      <c r="T22" s="91"/>
      <c r="U22" s="91">
        <v>0</v>
      </c>
      <c r="V22" s="258">
        <f>IF((_xlfn.SINGLE(LOAA)&gt;_xlfn.SINGLE(LOA)),_xlfn.SINGLE(LOAA),_xlfn.SINGLE(LOA)-_xlfn.SINGLE(FOC)-_xlfn.SINGLE(AOC))</f>
        <v>13.85</v>
      </c>
      <c r="W22" s="259">
        <f>IF(RL&gt;0,IF(RL&gt;'Look Ups'!Y$7,'Look Ups'!Y$8,('Look Ups'!Y$3*RL^3+'Look Ups'!Y$4*RL^2+'Look Ups'!Y$5*RL+'Look Ups'!Y$6)),0)</f>
        <v>0.3</v>
      </c>
      <c r="X22" s="92">
        <v>4097</v>
      </c>
      <c r="Y22" s="263">
        <f ca="1">IF(WDATE&lt;(TODAY()-'Look Ups'!$D$4*365),-WM*'Look Ups'!$D$5/100,0)</f>
        <v>0</v>
      </c>
      <c r="Z22" s="103"/>
      <c r="AA22" s="104"/>
      <c r="AB22" s="106"/>
      <c r="AC22" s="268">
        <f>WCD+NC*'Look Ups'!$AF$3</f>
        <v>0</v>
      </c>
      <c r="AD22" s="268">
        <f ca="1">IF(RL&lt;'Look Ups'!AM$3,'Look Ups'!AM$4,IF(RL&gt;'Look Ups'!AM$5,'Look Ups'!AM$6,(RL-'Look Ups'!AM$3)/('Look Ups'!AM$5-'Look Ups'!AM$3)*('Look Ups'!AM$6-'Look Ups'!AM$4)+'Look Ups'!AM$4))/100*WS</f>
        <v>409.70000000000005</v>
      </c>
      <c r="AE22" s="269">
        <f ca="1">WM+WP+WE</f>
        <v>4097</v>
      </c>
      <c r="AF22" s="267">
        <f ca="1">_xlfn.SINGLE(WS)+IF(_xlfn.SINGLE(TCW)&gt;=_xlfn.SINGLE(CWA),_xlfn.SINGLE(CWA),_xlfn.SINGLE(TCW))</f>
        <v>4097</v>
      </c>
      <c r="AG22" s="94" t="s">
        <v>145</v>
      </c>
      <c r="AH22" s="95" t="s">
        <v>146</v>
      </c>
      <c r="AI22" s="96" t="s">
        <v>187</v>
      </c>
      <c r="AJ22" s="218"/>
      <c r="AK22" s="273">
        <f>IF(C22="",0,VLOOKUP(AG22,'Look Ups'!$F$3:$G$6,2,0)*VLOOKUP(AH22,'Look Ups'!$I$3:$J$5,2,0)*VLOOKUP(AI22,'Look Ups'!$L$3:$M$7,2,0)*IF(AJ22="",1,VLOOKUP(AJ22,'Look Ups'!$O$3:$P$4,2,0)))</f>
        <v>0.995</v>
      </c>
      <c r="AL22" s="83">
        <v>16.920000000000002</v>
      </c>
      <c r="AM22" s="91">
        <v>16.48</v>
      </c>
      <c r="AN22" s="91">
        <v>5.15</v>
      </c>
      <c r="AO22" s="91">
        <v>2.25</v>
      </c>
      <c r="AP22" s="91">
        <v>0.36</v>
      </c>
      <c r="AQ22" s="91">
        <v>16.97</v>
      </c>
      <c r="AR22" s="91"/>
      <c r="AS22" s="91">
        <v>5.2190000000000003</v>
      </c>
      <c r="AT22" s="91">
        <v>0.1</v>
      </c>
      <c r="AU22" s="91">
        <v>0.8</v>
      </c>
      <c r="AV22" s="91" t="s">
        <v>148</v>
      </c>
      <c r="AW22" s="97"/>
      <c r="AX22" s="256">
        <f>P+ER</f>
        <v>17.07</v>
      </c>
      <c r="AY22" s="256">
        <f>P*0.375*MC</f>
        <v>5.0910000000000002</v>
      </c>
      <c r="AZ22" s="275">
        <f>IF(C22="",0,(0.5*(_ML1*LPM)+0.5*(_ML1*HB)+0.66*(P*PR)+0.66*(_ML2*RDM)+0.66*(E*ER))*VLOOKUP(BATT,'Look Ups'!$U$3:$V$4,2,0))</f>
        <v>66.864102000000017</v>
      </c>
      <c r="BA22" s="98"/>
      <c r="BB22" s="99"/>
      <c r="BC22" s="83">
        <v>15.3</v>
      </c>
      <c r="BD22" s="91">
        <v>5.0599999999999996</v>
      </c>
      <c r="BE22" s="91">
        <v>5.45</v>
      </c>
      <c r="BF22" s="91">
        <v>0.06</v>
      </c>
      <c r="BG22" s="91">
        <v>14.5</v>
      </c>
      <c r="BH22" s="91"/>
      <c r="BI22" s="91"/>
      <c r="BJ22" s="91">
        <v>0</v>
      </c>
      <c r="BK22" s="91"/>
      <c r="BL22" s="87"/>
      <c r="BM22" s="275">
        <f>(0.5*LL*LPG)+(0.5*_LG1*HG)+(0.66*LL*LLRG)+(0.66*FG*FRG)+(IF((HG&gt;0),(0.66*_LG2*LRG),(0.66*_LG1*LRG)))</f>
        <v>38.924819999999997</v>
      </c>
      <c r="BN22" s="282"/>
      <c r="BO22" s="283"/>
      <c r="BP22" s="284"/>
      <c r="BQ22" s="284"/>
      <c r="BR22" s="283"/>
      <c r="BS22" s="284"/>
      <c r="BT22" s="284"/>
      <c r="BU22" s="280">
        <f>(0.5*LLS*LPS)+(0.66*LLS*LLRS)+(0.66*LS*LRS)+(0.66*FS*FRS)</f>
        <v>0</v>
      </c>
      <c r="BV22" s="285"/>
      <c r="BW22" s="283"/>
      <c r="BX22" s="283"/>
      <c r="BY22" s="283"/>
      <c r="BZ22" s="283"/>
      <c r="CA22" s="283"/>
      <c r="CB22" s="283"/>
      <c r="CC22" s="275">
        <f>(0.5*LLD*LPD)+(0.66*LLD*LLRD)+(0.66*LCHD*LRD)+(0.66*FD*FRD)</f>
        <v>0</v>
      </c>
      <c r="CD22" s="98">
        <v>11</v>
      </c>
      <c r="CE22" s="91">
        <v>18.760000000000002</v>
      </c>
      <c r="CF22" s="91">
        <v>16.98</v>
      </c>
      <c r="CG22" s="91">
        <v>9.5</v>
      </c>
      <c r="CH22" s="266">
        <f>IF(SF&gt;0,SMG/SF*100,"")</f>
        <v>86.36363636363636</v>
      </c>
      <c r="CI22" s="283"/>
      <c r="CJ22" s="280">
        <f>SF*(_SL1+_SL2)/4+(SMG-SF/2)*(_SL1+_SL2)/3</f>
        <v>145.93833333333333</v>
      </c>
      <c r="CK22" s="83">
        <v>8.1</v>
      </c>
      <c r="CL22" s="91">
        <v>17.190000000000001</v>
      </c>
      <c r="CM22" s="91">
        <v>14.79</v>
      </c>
      <c r="CN22" s="91">
        <v>4.5</v>
      </c>
      <c r="CO22" s="256">
        <f>IF(SCRF&gt;0,SCRMG/SCRF*100,"")</f>
        <v>55.555555555555557</v>
      </c>
      <c r="CP22" s="283"/>
      <c r="CQ22" s="256">
        <f>SCRF*(SCRL1+SCRL2)/4+(SCRMG-SCRF/2)*(SCRL1+SCRL2)/3</f>
        <v>69.5565</v>
      </c>
      <c r="CR22" s="256" t="str">
        <f>IF(CO22&lt;'Look Ups'!$AC$4,"Yes","No")</f>
        <v>No</v>
      </c>
      <c r="CS22" s="267">
        <f>IF(CR22="Yes",MIN(150,('Look Ups'!$AC$4-PSCR)/('Look Ups'!$AC$4-'Look Ups'!$AC$3)*100),0)</f>
        <v>0</v>
      </c>
      <c r="CT22" s="83"/>
      <c r="CU22" s="91"/>
      <c r="CV22" s="91"/>
      <c r="CW22" s="91"/>
      <c r="CX22" s="256" t="str">
        <f>IF(USCRF&gt;0,USCRMG/USCRF*100,"")</f>
        <v/>
      </c>
      <c r="CY22" s="293">
        <f>IF(PUSCR&lt;'Look Ups'!$AC$4,MIN(150,('Look Ups'!$AC$4-PUSCR)/('Look Ups'!$AC$4-'Look Ups'!$AC$3)*100),0)</f>
        <v>0</v>
      </c>
      <c r="CZ22" s="275">
        <f>IF(PUSCR&lt;'Look Ups'!$AC$4,USCRF*(USCRL1+USCRL2)/4+(USCRMG-USCRF/2)*(USCRL1+USCRL2)/3,0)</f>
        <v>0</v>
      </c>
      <c r="DA22" s="294">
        <f>IF(ZVAL=1,1,IF(LPM&gt;0,0.64*((AM+MAM)/(E+(MC/2))^2)^0.3,0))</f>
        <v>1</v>
      </c>
      <c r="DB22" s="256">
        <f>0.65*((AM+MAM)*EFM)+0.35*((AM+MAM)*ZVAL)</f>
        <v>71.955102000000011</v>
      </c>
      <c r="DC22" s="256">
        <f>IF(ZVAL=1,1,IF(LPG&gt;0,0.72*(AG/(LPG^2))^0.3,0))</f>
        <v>1</v>
      </c>
      <c r="DD22" s="256">
        <f>AG*EFG</f>
        <v>38.924819999999997</v>
      </c>
      <c r="DE22" s="256">
        <f>IF(AZ22&gt;0,'Look Ups'!$S$3,0)</f>
        <v>1</v>
      </c>
      <c r="DF22" s="256">
        <f>IF(LPS&gt;0,0.72*(AS/(LPS^2))^0.3,0)</f>
        <v>0</v>
      </c>
      <c r="DG22" s="256">
        <f>EFS*AS</f>
        <v>0</v>
      </c>
      <c r="DH22" s="256">
        <f>IF(LPD&gt;0,0.72*(AD/(LPD^2))^0.3,0)</f>
        <v>0</v>
      </c>
      <c r="DI22" s="280">
        <f>IF((AD-AG)&gt;0,0.3*(AD-AG)*EFD,0)</f>
        <v>0</v>
      </c>
      <c r="DJ22" s="295" t="str">
        <f>IF((SCRF=0),"-",IF(AND(MSASC&gt;AG,SCRMG&lt;(0.75*SCRF)),"valid","ERROR"))</f>
        <v>valid</v>
      </c>
      <c r="DK22" s="266" t="str">
        <f>IF((SF=0),"-",IF((SMG&lt;(0.75*SF)),"ERROR",IF(AND(MSASP&gt;MSASC,MSASP&gt;AG,MSASP&gt;=0.36*RSAM),"valid","Small")))</f>
        <v>valid</v>
      </c>
      <c r="DL22" s="267" t="str">
        <f>IF(C22="","",CONCATENATE("MG",IF(FLSCR="valid","Scr",""),IF(FLSPI="valid","SP","")))</f>
        <v>MGScrSP</v>
      </c>
      <c r="DM22" s="294">
        <f>RSAM+RSAG</f>
        <v>110.87992200000001</v>
      </c>
      <c r="DN22" s="256">
        <f>IF(MSASP&gt;0,'Look Ups'!$AI$4*(ZVAL*MSASP-RSAG),0)</f>
        <v>32.104053999999998</v>
      </c>
      <c r="DO22" s="256">
        <f>IF(AND(MSASC&gt;0,(MSASC&gt;=0.36*RSAM)),('Look Ups'!$AI$3*(ZVAL*MSASC-RSAG)),(0))</f>
        <v>10.721088</v>
      </c>
      <c r="DP22" s="256">
        <f>IF(MSASP&gt;0,'Look Ups'!$AI$5*(ZVAL*MSASP-RSAG),0)</f>
        <v>29.963783733333337</v>
      </c>
      <c r="DQ22" s="256">
        <f>IF(MSASC&gt;0,'Look Ups'!$AI$6*(MSASC-RSAG),0)</f>
        <v>2.1442176000000006</v>
      </c>
      <c r="DR22" s="280">
        <f>'Look Ups'!$AI$7*MAX(IF(MSAUSC&gt;0,EUSC/100*(MSAUSC-RSAG),0),IF(CR22="Yes",ELSC/100*(MSASC-RSAG),0))</f>
        <v>0</v>
      </c>
      <c r="DS22" s="280">
        <f>0.36*RSAM</f>
        <v>25.903836720000005</v>
      </c>
      <c r="DT22" s="296">
        <f>_xlfn.IFS(SPC="MG",RAMG+DS22,SPC="MGScr",RAMG+RASCO,SPC="MGSp",RAMG+RASPO,SPC="MGScrSp",RAMG+RASPSC+RASCR)+RAUSC+RSAST+RSAD+RSAMZ+RSA2M</f>
        <v>142.98792333333333</v>
      </c>
      <c r="DU22" s="63"/>
    </row>
    <row r="23" spans="1:125" ht="15.6" customHeight="1" x14ac:dyDescent="0.3">
      <c r="A23" s="4"/>
      <c r="B23" s="64"/>
      <c r="C23" s="64" t="s">
        <v>188</v>
      </c>
      <c r="D23" s="85" t="s">
        <v>189</v>
      </c>
      <c r="E23" s="86" t="s">
        <v>190</v>
      </c>
      <c r="F23" s="252">
        <f ca="1">IF(RW=0,0,ROUND(DLF*0.93*RL^LF*RSA^0.4/RW^0.325,3))</f>
        <v>1.0960000000000001</v>
      </c>
      <c r="G23" s="252" t="str">
        <f ca="1">IF(OR(FLSCR="ERROR",FLSPI="ERROR"),"No",IF(TODAY()-'Look Ups'!$D$4*365&gt;I23,"WP Applied","Yes"))</f>
        <v>WP Applied</v>
      </c>
      <c r="H23" s="253" t="str">
        <f>IF(SPC="","",CONCATENATE("Main-Genoa",IF(FLSCR="valid",IF(OR(CR23="Yes",MSAUSC&gt;0),"-Screacher (Upwind)","-Screacher"),""),IF(FLSPI="valid","-Spinnaker",""),IF(RSAMZ&gt;0,"-Mizzen",""),IF(RSA2M&gt;0,"-Second Main",""),IF(AS&gt;0,"-Staysail",""),IF(AD&gt;0,"-Drifter","")))</f>
        <v>Main-Genoa-Screacher (Upwind)-Spinnaker</v>
      </c>
      <c r="I23" s="1">
        <v>38724</v>
      </c>
      <c r="J23" s="1">
        <v>40805</v>
      </c>
      <c r="K23" s="87" t="s">
        <v>191</v>
      </c>
      <c r="L23" s="87" t="s">
        <v>192</v>
      </c>
      <c r="M23" s="207"/>
      <c r="N23" s="88" t="s">
        <v>143</v>
      </c>
      <c r="O23" s="88" t="s">
        <v>144</v>
      </c>
      <c r="P23" s="100"/>
      <c r="Q23" s="90">
        <v>8.8000000000000007</v>
      </c>
      <c r="R23" s="87"/>
      <c r="S23" s="256">
        <f>IF((LOAA&gt;LOA),0.025*LOAA,0.025*LOA)</f>
        <v>0.22000000000000003</v>
      </c>
      <c r="T23" s="91">
        <v>0.08</v>
      </c>
      <c r="U23" s="91">
        <v>0</v>
      </c>
      <c r="V23" s="258">
        <f>IF((_xlfn.SINGLE(LOAA)&gt;_xlfn.SINGLE(LOA)),_xlfn.SINGLE(LOAA),_xlfn.SINGLE(LOA)-_xlfn.SINGLE(FOC)-_xlfn.SINGLE(AOC))</f>
        <v>8.7200000000000006</v>
      </c>
      <c r="W23" s="259">
        <f>IF(RL&gt;0,IF(RL&gt;'Look Ups'!Y$7,'Look Ups'!Y$8,('Look Ups'!Y$3*RL^3+'Look Ups'!Y$4*RL^2+'Look Ups'!Y$5*RL+'Look Ups'!Y$6)),0)</f>
        <v>0.29596704998400003</v>
      </c>
      <c r="X23" s="92">
        <v>1270</v>
      </c>
      <c r="Y23" s="263">
        <f ca="1">IF(WDATE&lt;(TODAY()-'Look Ups'!$D$4*365),-WM*'Look Ups'!$D$5/100,0)</f>
        <v>-190.5</v>
      </c>
      <c r="Z23" s="103"/>
      <c r="AA23" s="104"/>
      <c r="AB23" s="106"/>
      <c r="AC23" s="268">
        <f>WCD+NC*'Look Ups'!$AF$3</f>
        <v>0</v>
      </c>
      <c r="AD23" s="268">
        <f ca="1">IF(RL&lt;'Look Ups'!AM$3,'Look Ups'!AM$4,IF(RL&gt;'Look Ups'!AM$5,'Look Ups'!AM$6,(RL-'Look Ups'!AM$3)/('Look Ups'!AM$5-'Look Ups'!AM$3)*('Look Ups'!AM$6-'Look Ups'!AM$4)+'Look Ups'!AM$4))/100*WS</f>
        <v>244.55581818181815</v>
      </c>
      <c r="AE23" s="269">
        <f ca="1">WM+WP+WE</f>
        <v>1079.5</v>
      </c>
      <c r="AF23" s="267">
        <f ca="1">_xlfn.SINGLE(WS)+IF(_xlfn.SINGLE(TCW)&gt;=_xlfn.SINGLE(CWA),_xlfn.SINGLE(CWA),_xlfn.SINGLE(TCW))</f>
        <v>1079.5</v>
      </c>
      <c r="AG23" s="94" t="s">
        <v>145</v>
      </c>
      <c r="AH23" s="95" t="s">
        <v>146</v>
      </c>
      <c r="AI23" s="96" t="s">
        <v>147</v>
      </c>
      <c r="AJ23" s="218"/>
      <c r="AK23" s="273">
        <f>IF(C23="",0,VLOOKUP(AG23,'Look Ups'!$F$3:$G$6,2,0)*VLOOKUP(AH23,'Look Ups'!$I$3:$J$5,2,0)*VLOOKUP(AI23,'Look Ups'!$L$3:$M$7,2,0)*IF(AJ23="",1,VLOOKUP(AJ23,'Look Ups'!$O$3:$P$4,2,0)))</f>
        <v>1</v>
      </c>
      <c r="AL23" s="83">
        <v>13.71</v>
      </c>
      <c r="AM23" s="91">
        <v>13.77</v>
      </c>
      <c r="AN23" s="91">
        <v>3.63</v>
      </c>
      <c r="AO23" s="91">
        <v>1.98</v>
      </c>
      <c r="AP23" s="91">
        <v>0.37</v>
      </c>
      <c r="AQ23" s="91">
        <v>13.56</v>
      </c>
      <c r="AR23" s="91">
        <v>0.08</v>
      </c>
      <c r="AS23" s="91">
        <v>3.68</v>
      </c>
      <c r="AT23" s="91">
        <v>0.03</v>
      </c>
      <c r="AU23" s="91">
        <v>0.7</v>
      </c>
      <c r="AV23" s="91" t="s">
        <v>148</v>
      </c>
      <c r="AW23" s="97">
        <v>0</v>
      </c>
      <c r="AX23" s="256">
        <f>P+ER</f>
        <v>13.59</v>
      </c>
      <c r="AY23" s="256">
        <f>P*0.375*MC</f>
        <v>3.5594999999999999</v>
      </c>
      <c r="AZ23" s="275">
        <f>IF(C23="",0,(0.5*(_ML1*LPM)+0.5*(_ML1*HB)+0.66*(P*PR)+0.66*(_ML2*RDM)+0.66*(E*ER))*VLOOKUP(BATT,'Look Ups'!$U$3:$V$4,2,0))</f>
        <v>42.608015999999999</v>
      </c>
      <c r="BA23" s="98"/>
      <c r="BB23" s="99"/>
      <c r="BC23" s="83">
        <v>11.21</v>
      </c>
      <c r="BD23" s="91">
        <v>3.65</v>
      </c>
      <c r="BE23" s="91">
        <v>4.01</v>
      </c>
      <c r="BF23" s="91">
        <v>0.04</v>
      </c>
      <c r="BG23" s="91">
        <v>10.210000000000001</v>
      </c>
      <c r="BH23" s="91">
        <v>10.130000000000001</v>
      </c>
      <c r="BI23" s="91">
        <v>0.5</v>
      </c>
      <c r="BJ23" s="91">
        <v>0.08</v>
      </c>
      <c r="BK23" s="91">
        <v>0.04</v>
      </c>
      <c r="BL23" s="97">
        <v>0</v>
      </c>
      <c r="BM23" s="275">
        <f>(0.5*LL*LPG)+(0.5*_LG1*HG)+(0.66*LL*LLRG)+(0.66*FG*FRG)+(IF((HG&gt;0),(0.66*_LG2*LRG),(0.66*_LG1*LRG)))</f>
        <v>23.947422</v>
      </c>
      <c r="BN23" s="282"/>
      <c r="BO23" s="283"/>
      <c r="BP23" s="284"/>
      <c r="BQ23" s="284"/>
      <c r="BR23" s="283"/>
      <c r="BS23" s="284"/>
      <c r="BT23" s="284"/>
      <c r="BU23" s="280">
        <f>(0.5*LLS*LPS)+(0.66*LLS*LLRS)+(0.66*LS*LRS)+(0.66*FS*FRS)</f>
        <v>0</v>
      </c>
      <c r="BV23" s="285"/>
      <c r="BW23" s="283"/>
      <c r="BX23" s="283"/>
      <c r="BY23" s="283"/>
      <c r="BZ23" s="283"/>
      <c r="CA23" s="283"/>
      <c r="CB23" s="283"/>
      <c r="CC23" s="275">
        <f>(0.5*LLD*LPD)+(0.66*LLD*LLRD)+(0.66*LCHD*LRD)+(0.66*FD*FRD)</f>
        <v>0</v>
      </c>
      <c r="CD23" s="98">
        <v>7.68</v>
      </c>
      <c r="CE23" s="91">
        <v>16.32</v>
      </c>
      <c r="CF23" s="91">
        <v>14.6</v>
      </c>
      <c r="CG23" s="91">
        <v>5.79</v>
      </c>
      <c r="CH23" s="266">
        <f>IF(SF&gt;0,SMG/SF*100,"")</f>
        <v>75.390625</v>
      </c>
      <c r="CI23" s="283"/>
      <c r="CJ23" s="280">
        <f>SF*(_SL1+_SL2)/4+(SMG-SF/2)*(_SL1+_SL2)/3</f>
        <v>79.464399999999998</v>
      </c>
      <c r="CK23" s="83">
        <v>6.82</v>
      </c>
      <c r="CL23" s="91">
        <v>13.7</v>
      </c>
      <c r="CM23" s="91">
        <v>11.98</v>
      </c>
      <c r="CN23" s="91">
        <v>3.45</v>
      </c>
      <c r="CO23" s="256">
        <f>IF(SCRF&gt;0,SCRMG/SCRF*100,"")</f>
        <v>50.586510263929618</v>
      </c>
      <c r="CP23" s="283"/>
      <c r="CQ23" s="256">
        <f>SCRF*(SCRL1+SCRL2)/4+(SCRMG-SCRF/2)*(SCRL1+SCRL2)/3</f>
        <v>44.126799999999996</v>
      </c>
      <c r="CR23" s="256" t="str">
        <f>IF(CO23&lt;'Look Ups'!$AC$4,"Yes","No")</f>
        <v>Yes</v>
      </c>
      <c r="CS23" s="267">
        <f>IF(CR23="Yes",MIN(150,('Look Ups'!$AC$4-PSCR)/('Look Ups'!$AC$4-'Look Ups'!$AC$3)*100),0)</f>
        <v>28.269794721407639</v>
      </c>
      <c r="CT23" s="83"/>
      <c r="CU23" s="91"/>
      <c r="CV23" s="91"/>
      <c r="CW23" s="91"/>
      <c r="CX23" s="256" t="str">
        <f>IF(USCRF&gt;0,USCRMG/USCRF*100,"")</f>
        <v/>
      </c>
      <c r="CY23" s="293">
        <f>IF(PUSCR&lt;'Look Ups'!$AC$4,MIN(150,('Look Ups'!$AC$4-PUSCR)/('Look Ups'!$AC$4-'Look Ups'!$AC$3)*100),0)</f>
        <v>0</v>
      </c>
      <c r="CZ23" s="275">
        <f>IF(PUSCR&lt;'Look Ups'!$AC$4,USCRF*(USCRL1+USCRL2)/4+(USCRMG-USCRF/2)*(USCRL1+USCRL2)/3,0)</f>
        <v>0</v>
      </c>
      <c r="DA23" s="294">
        <f>IF(ZVAL=1,1,IF(LPM&gt;0,0.64*((AM+MAM)/(E+(MC/2))^2)^0.3,0))</f>
        <v>1</v>
      </c>
      <c r="DB23" s="256">
        <f>0.65*((AM+MAM)*EFM)+0.35*((AM+MAM)*ZVAL)</f>
        <v>46.167515999999999</v>
      </c>
      <c r="DC23" s="256">
        <f>IF(ZVAL=1,1,IF(LPG&gt;0,0.72*(AG/(LPG^2))^0.3,0))</f>
        <v>1</v>
      </c>
      <c r="DD23" s="256">
        <f>AG*EFG</f>
        <v>23.947422</v>
      </c>
      <c r="DE23" s="256">
        <f>IF(AZ23&gt;0,'Look Ups'!$S$3,0)</f>
        <v>1</v>
      </c>
      <c r="DF23" s="256">
        <f>IF(LPS&gt;0,0.72*(AS/(LPS^2))^0.3,0)</f>
        <v>0</v>
      </c>
      <c r="DG23" s="256">
        <f>EFS*AS</f>
        <v>0</v>
      </c>
      <c r="DH23" s="256">
        <f>IF(LPD&gt;0,0.72*(AD/(LPD^2))^0.3,0)</f>
        <v>0</v>
      </c>
      <c r="DI23" s="280">
        <f>IF((AD-AG)&gt;0,0.3*(AD-AG)*EFD,0)</f>
        <v>0</v>
      </c>
      <c r="DJ23" s="295" t="str">
        <f>IF((SCRF=0),"-",IF(AND(MSASC&gt;AG,SCRMG&lt;(0.75*SCRF)),"valid","ERROR"))</f>
        <v>valid</v>
      </c>
      <c r="DK23" s="266" t="str">
        <f>IF((SF=0),"-",IF((SMG&lt;(0.75*SF)),"ERROR",IF(AND(MSASP&gt;MSASC,MSASP&gt;AG,MSASP&gt;=0.36*RSAM),"valid","Small")))</f>
        <v>valid</v>
      </c>
      <c r="DL23" s="267" t="str">
        <f>IF(C23="","",CONCATENATE("MG",IF(FLSCR="valid","Scr",""),IF(FLSPI="valid","SP","")))</f>
        <v>MGScrSP</v>
      </c>
      <c r="DM23" s="294">
        <f>RSAM+RSAG</f>
        <v>70.114937999999995</v>
      </c>
      <c r="DN23" s="256">
        <f>IF(MSASP&gt;0,'Look Ups'!$AI$4*(ZVAL*MSASP-RSAG),0)</f>
        <v>16.655093399999998</v>
      </c>
      <c r="DO23" s="256">
        <f>IF(AND(MSASC&gt;0,(MSASC&gt;=0.36*RSAM)),('Look Ups'!$AI$3*(ZVAL*MSASC-RSAG)),(0))</f>
        <v>7.0627822999999985</v>
      </c>
      <c r="DP23" s="256">
        <f>IF(MSASP&gt;0,'Look Ups'!$AI$5*(ZVAL*MSASP-RSAG),0)</f>
        <v>15.54475384</v>
      </c>
      <c r="DQ23" s="256">
        <f>IF(MSASC&gt;0,'Look Ups'!$AI$6*(MSASC-RSAG),0)</f>
        <v>1.4125564599999998</v>
      </c>
      <c r="DR23" s="280">
        <f>'Look Ups'!$AI$7*MAX(IF(MSAUSC&gt;0,EUSC/100*(MSAUSC-RSAG),0),IF(CR23="Yes",ELSC/100*(MSASC-RSAG),0))</f>
        <v>1.4261671841642232</v>
      </c>
      <c r="DS23" s="280">
        <f>0.36*RSAM</f>
        <v>16.620305760000001</v>
      </c>
      <c r="DT23" s="296">
        <f>_xlfn.IFS(SPC="MG",RAMG+DS23,SPC="MGScr",RAMG+RASCO,SPC="MGSp",RAMG+RASPO,SPC="MGScrSp",RAMG+RASPSC+RASCR)+RAUSC+RSAST+RSAD+RSAMZ+RSA2M</f>
        <v>88.498415484164227</v>
      </c>
      <c r="DU23" s="63"/>
    </row>
    <row r="24" spans="1:125" ht="15.6" customHeight="1" x14ac:dyDescent="0.3">
      <c r="A24" s="4"/>
      <c r="B24" s="84"/>
      <c r="C24" s="64" t="s">
        <v>193</v>
      </c>
      <c r="D24" s="101" t="s">
        <v>194</v>
      </c>
      <c r="E24" s="86" t="s">
        <v>195</v>
      </c>
      <c r="F24" s="252">
        <f ca="1">IF(RW=0,0,ROUND(DLF*0.93*RL^LF*RSA^0.4/RW^0.325,3))</f>
        <v>0.86199999999999999</v>
      </c>
      <c r="G24" s="252" t="str">
        <f ca="1">IF(OR(FLSCR="ERROR",FLSPI="ERROR"),"No",IF(TODAY()-'Look Ups'!$D$4*365&gt;I24,"WP Applied","Yes"))</f>
        <v>Yes</v>
      </c>
      <c r="H24" s="253" t="str">
        <f>IF(SPC="","",CONCATENATE("Main-Genoa",IF(FLSCR="valid",IF(OR(CR24="Yes",MSAUSC&gt;0),"-Screacher (Upwind)","-Screacher"),""),IF(FLSPI="valid","-Spinnaker",""),IF(RSAMZ&gt;0,"-Mizzen",""),IF(RSA2M&gt;0,"-Second Main",""),IF(AS&gt;0,"-Staysail",""),IF(AD&gt;0,"-Drifter","")))</f>
        <v>Main-Genoa-Spinnaker</v>
      </c>
      <c r="I24" s="1">
        <v>43128</v>
      </c>
      <c r="J24" s="1">
        <v>43140</v>
      </c>
      <c r="K24" s="87" t="s">
        <v>196</v>
      </c>
      <c r="L24" s="87" t="s">
        <v>164</v>
      </c>
      <c r="M24" s="207"/>
      <c r="N24" s="88" t="s">
        <v>143</v>
      </c>
      <c r="O24" s="88" t="s">
        <v>154</v>
      </c>
      <c r="P24" s="102"/>
      <c r="Q24" s="90">
        <v>7.3</v>
      </c>
      <c r="R24" s="87"/>
      <c r="S24" s="256">
        <f>IF((LOAA&gt;LOA),0.025*LOAA,0.025*LOA)</f>
        <v>0.1825</v>
      </c>
      <c r="T24" s="91">
        <v>0.01</v>
      </c>
      <c r="U24" s="91">
        <v>0</v>
      </c>
      <c r="V24" s="258">
        <f>IF((_xlfn.SINGLE(LOAA)&gt;_xlfn.SINGLE(LOA)),_xlfn.SINGLE(LOAA),_xlfn.SINGLE(LOA)-_xlfn.SINGLE(FOC)-_xlfn.SINGLE(AOC))</f>
        <v>7.29</v>
      </c>
      <c r="W24" s="259">
        <f>IF(RL&gt;0,IF(RL&gt;'Look Ups'!Y$7,'Look Ups'!Y$8,('Look Ups'!Y$3*RL^3+'Look Ups'!Y$4*RL^2+'Look Ups'!Y$5*RL+'Look Ups'!Y$6)),0)</f>
        <v>0.29103813613700003</v>
      </c>
      <c r="X24" s="92">
        <v>990</v>
      </c>
      <c r="Y24" s="263">
        <f ca="1">IF(WDATE&lt;(TODAY()-'Look Ups'!$D$4*365),-WM*'Look Ups'!$D$5/100,0)</f>
        <v>0</v>
      </c>
      <c r="Z24" s="103"/>
      <c r="AA24" s="104"/>
      <c r="AB24" s="106"/>
      <c r="AC24" s="268">
        <f>WCD+NC*'Look Ups'!$AF$3</f>
        <v>0</v>
      </c>
      <c r="AD24" s="268">
        <f ca="1">IF(RL&lt;'Look Ups'!AM$3,'Look Ups'!AM$4,IF(RL&gt;'Look Ups'!AM$5,'Look Ups'!AM$6,(RL-'Look Ups'!AM$3)/('Look Ups'!AM$5-'Look Ups'!AM$3)*('Look Ups'!AM$6-'Look Ups'!AM$4)+'Look Ups'!AM$4))/100*WS</f>
        <v>275.76</v>
      </c>
      <c r="AE24" s="269">
        <f ca="1">WM+WP+WE</f>
        <v>990</v>
      </c>
      <c r="AF24" s="267">
        <f ca="1">_xlfn.SINGLE(WS)+IF(_xlfn.SINGLE(TCW)&gt;=_xlfn.SINGLE(CWA),_xlfn.SINGLE(CWA),_xlfn.SINGLE(TCW))</f>
        <v>990</v>
      </c>
      <c r="AG24" s="94" t="s">
        <v>145</v>
      </c>
      <c r="AH24" s="95" t="s">
        <v>146</v>
      </c>
      <c r="AI24" s="96" t="s">
        <v>147</v>
      </c>
      <c r="AJ24" s="218"/>
      <c r="AK24" s="273">
        <f>IF(C24="",0,VLOOKUP(AG24,'Look Ups'!$F$3:$G$6,2,0)*VLOOKUP(AH24,'Look Ups'!$I$3:$J$5,2,0)*VLOOKUP(AI24,'Look Ups'!$L$3:$M$7,2,0)*IF(AJ24="",1,VLOOKUP(AJ24,'Look Ups'!$O$3:$P$4,2,0)))</f>
        <v>1</v>
      </c>
      <c r="AL24" s="83">
        <v>9.94</v>
      </c>
      <c r="AM24" s="91">
        <v>9.65</v>
      </c>
      <c r="AN24" s="91">
        <v>3.12</v>
      </c>
      <c r="AO24" s="91">
        <v>1.075</v>
      </c>
      <c r="AP24" s="91">
        <v>0.36</v>
      </c>
      <c r="AQ24" s="91">
        <v>9.64</v>
      </c>
      <c r="AR24" s="91">
        <v>0.05</v>
      </c>
      <c r="AS24" s="91">
        <v>3.23</v>
      </c>
      <c r="AT24" s="91">
        <v>0.1</v>
      </c>
      <c r="AU24" s="91">
        <v>0.49</v>
      </c>
      <c r="AV24" s="91" t="s">
        <v>148</v>
      </c>
      <c r="AW24" s="97">
        <v>0</v>
      </c>
      <c r="AX24" s="256">
        <f>P+ER</f>
        <v>9.74</v>
      </c>
      <c r="AY24" s="256">
        <f>P*0.375*MC</f>
        <v>1.77135</v>
      </c>
      <c r="AZ24" s="275">
        <f>IF(C24="",0,(0.5*(_ML1*LPM)+0.5*(_ML1*HB)+0.66*(P*PR)+0.66*(_ML2*RDM)+0.66*(E*ER))*VLOOKUP(BATT,'Look Ups'!$U$3:$V$4,2,0))</f>
        <v>23.673290000000001</v>
      </c>
      <c r="BA24" s="98"/>
      <c r="BB24" s="99"/>
      <c r="BC24" s="83">
        <v>8.66</v>
      </c>
      <c r="BD24" s="91">
        <v>2.2850000000000001</v>
      </c>
      <c r="BE24" s="91">
        <v>2.57</v>
      </c>
      <c r="BF24" s="91">
        <v>0.17499999999999999</v>
      </c>
      <c r="BG24" s="91">
        <v>7.77</v>
      </c>
      <c r="BH24" s="91"/>
      <c r="BI24" s="91"/>
      <c r="BJ24" s="91">
        <v>0</v>
      </c>
      <c r="BK24" s="91">
        <v>0</v>
      </c>
      <c r="BL24" s="97">
        <v>0</v>
      </c>
      <c r="BM24" s="275">
        <f>(0.5*LL*LPG)+(0.5*_LG1*HG)+(0.66*LL*LLRG)+(0.66*FG*FRG)+(IF((HG&gt;0),(0.66*_LG2*LRG),(0.66*_LG1*LRG)))</f>
        <v>10.190885</v>
      </c>
      <c r="BN24" s="282"/>
      <c r="BO24" s="283"/>
      <c r="BP24" s="284"/>
      <c r="BQ24" s="284"/>
      <c r="BR24" s="283"/>
      <c r="BS24" s="284"/>
      <c r="BT24" s="284"/>
      <c r="BU24" s="280">
        <f>(0.5*LLS*LPS)+(0.66*LLS*LLRS)+(0.66*LS*LRS)+(0.66*FS*FRS)</f>
        <v>0</v>
      </c>
      <c r="BV24" s="285"/>
      <c r="BW24" s="283"/>
      <c r="BX24" s="283"/>
      <c r="BY24" s="283"/>
      <c r="BZ24" s="283"/>
      <c r="CA24" s="283"/>
      <c r="CB24" s="283"/>
      <c r="CC24" s="275">
        <f>(0.5*LLD*LPD)+(0.66*LLD*LLRD)+(0.66*LCHD*LRD)+(0.66*FD*FRD)</f>
        <v>0</v>
      </c>
      <c r="CD24" s="98">
        <v>6.62</v>
      </c>
      <c r="CE24" s="91">
        <v>12.07</v>
      </c>
      <c r="CF24" s="91">
        <v>10.88</v>
      </c>
      <c r="CG24" s="91">
        <v>7.25</v>
      </c>
      <c r="CH24" s="266">
        <f>IF(SF&gt;0,SMG/SF*100,"")</f>
        <v>109.5166163141994</v>
      </c>
      <c r="CI24" s="286"/>
      <c r="CJ24" s="280">
        <f>SF*(_SL1+_SL2)/4+(SMG-SF/2)*(_SL1+_SL2)/3</f>
        <v>68.123250000000013</v>
      </c>
      <c r="CK24" s="83"/>
      <c r="CL24" s="91"/>
      <c r="CM24" s="91"/>
      <c r="CN24" s="91"/>
      <c r="CO24" s="256" t="str">
        <f>IF(SCRF&gt;0,SCRMG/SCRF*100,"")</f>
        <v/>
      </c>
      <c r="CP24" s="286"/>
      <c r="CQ24" s="256">
        <f>SCRF*(SCRL1+SCRL2)/4+(SCRMG-SCRF/2)*(SCRL1+SCRL2)/3</f>
        <v>0</v>
      </c>
      <c r="CR24" s="256" t="str">
        <f>IF(CO24&lt;'Look Ups'!$AC$4,"Yes","No")</f>
        <v>No</v>
      </c>
      <c r="CS24" s="267">
        <f>IF(CR24="Yes",MIN(150,('Look Ups'!$AC$4-PSCR)/('Look Ups'!$AC$4-'Look Ups'!$AC$3)*100),0)</f>
        <v>0</v>
      </c>
      <c r="CT24" s="83"/>
      <c r="CU24" s="91"/>
      <c r="CV24" s="91"/>
      <c r="CW24" s="91"/>
      <c r="CX24" s="256" t="str">
        <f>IF(USCRF&gt;0,USCRMG/USCRF*100,"")</f>
        <v/>
      </c>
      <c r="CY24" s="293">
        <f>IF(PUSCR&lt;'Look Ups'!$AC$4,MIN(150,('Look Ups'!$AC$4-PUSCR)/('Look Ups'!$AC$4-'Look Ups'!$AC$3)*100),0)</f>
        <v>0</v>
      </c>
      <c r="CZ24" s="275">
        <f>IF(PUSCR&lt;'Look Ups'!$AC$4,USCRF*(USCRL1+USCRL2)/4+(USCRMG-USCRF/2)*(USCRL1+USCRL2)/3,0)</f>
        <v>0</v>
      </c>
      <c r="DA24" s="294">
        <f>IF(ZVAL=1,1,IF(LPM&gt;0,0.64*((AM+MAM)/(E+(MC/2))^2)^0.3,0))</f>
        <v>1</v>
      </c>
      <c r="DB24" s="256">
        <f>0.65*((AM+MAM)*EFM)+0.35*((AM+MAM)*ZVAL)</f>
        <v>25.44464</v>
      </c>
      <c r="DC24" s="256">
        <f>IF(ZVAL=1,1,IF(LPG&gt;0,0.72*(AG/(LPG^2))^0.3,0))</f>
        <v>1</v>
      </c>
      <c r="DD24" s="256">
        <f>AG*EFG</f>
        <v>10.190885</v>
      </c>
      <c r="DE24" s="256">
        <f>IF(AZ24&gt;0,'Look Ups'!$S$3,0)</f>
        <v>1</v>
      </c>
      <c r="DF24" s="256">
        <f>IF(LPS&gt;0,0.72*(AS/(LPS^2))^0.3,0)</f>
        <v>0</v>
      </c>
      <c r="DG24" s="256">
        <f>EFS*AS</f>
        <v>0</v>
      </c>
      <c r="DH24" s="256">
        <f>IF(LPD&gt;0,0.72*(AD/(LPD^2))^0.3,0)</f>
        <v>0</v>
      </c>
      <c r="DI24" s="280">
        <f>IF((AD-AG)&gt;0,0.3*(AD-AG)*EFD,0)</f>
        <v>0</v>
      </c>
      <c r="DJ24" s="295" t="str">
        <f>IF((SCRF=0),"-",IF(AND(MSASC&gt;AG,SCRMG&lt;(0.75*SCRF)),"valid","ERROR"))</f>
        <v>-</v>
      </c>
      <c r="DK24" s="266" t="str">
        <f>IF((SF=0),"-",IF((SMG&lt;(0.75*SF)),"ERROR",IF(AND(MSASP&gt;MSASC,MSASP&gt;AG,MSASP&gt;=0.36*RSAM),"valid","Small")))</f>
        <v>valid</v>
      </c>
      <c r="DL24" s="267" t="str">
        <f>IF(C24="","",CONCATENATE("MG",IF(FLSCR="valid","Scr",""),IF(FLSPI="valid","SP","")))</f>
        <v>MGSP</v>
      </c>
      <c r="DM24" s="294">
        <f>RSAM+RSAG</f>
        <v>35.635525000000001</v>
      </c>
      <c r="DN24" s="256">
        <f>IF(MSASP&gt;0,'Look Ups'!$AI$4*(ZVAL*MSASP-RSAG),0)</f>
        <v>17.379709500000004</v>
      </c>
      <c r="DO24" s="256">
        <f>IF(AND(MSASC&gt;0,(MSASC&gt;=0.36*RSAM)),('Look Ups'!$AI$3*(ZVAL*MSASC-RSAG)),(0))</f>
        <v>0</v>
      </c>
      <c r="DP24" s="256">
        <f>IF(MSASP&gt;0,'Look Ups'!$AI$5*(ZVAL*MSASP-RSAG),0)</f>
        <v>16.221062200000006</v>
      </c>
      <c r="DQ24" s="256">
        <f>IF(MSASC&gt;0,'Look Ups'!$AI$6*(MSASC-RSAG),0)</f>
        <v>0</v>
      </c>
      <c r="DR24" s="280">
        <f>'Look Ups'!$AI$7*MAX(IF(MSAUSC&gt;0,EUSC/100*(MSAUSC-RSAG),0),IF(CR24="Yes",ELSC/100*(MSASC-RSAG),0))</f>
        <v>0</v>
      </c>
      <c r="DS24" s="280">
        <f>0.36*RSAM</f>
        <v>9.1600704000000004</v>
      </c>
      <c r="DT24" s="296">
        <f>_xlfn.IFS(SPC="MG",RAMG+DS24,SPC="MGScr",RAMG+RASCO,SPC="MGSp",RAMG+RASPO,SPC="MGScrSp",RAMG+RASPSC+RASCR)+RAUSC+RSAST+RSAD+RSAMZ+RSA2M</f>
        <v>53.015234500000005</v>
      </c>
      <c r="DU24" s="63"/>
    </row>
    <row r="25" spans="1:125" ht="15.6" customHeight="1" x14ac:dyDescent="0.3">
      <c r="A25" s="4"/>
      <c r="B25" s="64"/>
      <c r="C25" s="64" t="s">
        <v>197</v>
      </c>
      <c r="D25" s="85" t="s">
        <v>189</v>
      </c>
      <c r="E25" s="385" t="s">
        <v>198</v>
      </c>
      <c r="F25" s="252">
        <f ca="1">IF(RW=0,0,ROUND(DLF*0.93*RL^LF*RSA^0.4/RW^0.325,3))</f>
        <v>1.024</v>
      </c>
      <c r="G25" s="252" t="str">
        <f ca="1">IF(OR(FLSCR="ERROR",FLSPI="ERROR"),"No",IF(TODAY()-'Look Ups'!$D$4*365&gt;I25,"WP Applied","Yes"))</f>
        <v>Yes</v>
      </c>
      <c r="H25" s="253" t="str">
        <f>IF(SPC="","",CONCATENATE("Main-Genoa",IF(FLSCR="valid",IF(OR(CR25="Yes",MSAUSC&gt;0),"-Screacher (Upwind)","-Screacher"),""),IF(FLSPI="valid","-Spinnaker",""),IF(RSAMZ&gt;0,"-Mizzen",""),IF(RSA2M&gt;0,"-Second Main",""),IF(AS&gt;0,"-Staysail",""),IF(AD&gt;0,"-Drifter","")))</f>
        <v>Main-Genoa-Screacher</v>
      </c>
      <c r="I25" s="1">
        <v>44049</v>
      </c>
      <c r="J25" s="1">
        <v>44049</v>
      </c>
      <c r="K25" s="87" t="s">
        <v>153</v>
      </c>
      <c r="L25" s="87" t="s">
        <v>164</v>
      </c>
      <c r="M25" s="207"/>
      <c r="N25" s="88" t="s">
        <v>165</v>
      </c>
      <c r="O25" s="88"/>
      <c r="P25" s="100"/>
      <c r="Q25" s="90">
        <v>12.1</v>
      </c>
      <c r="R25" s="87"/>
      <c r="S25" s="256">
        <f>IF((LOAA&gt;LOA),0.025*LOAA,0.025*LOA)</f>
        <v>0.30249999999999999</v>
      </c>
      <c r="T25" s="91">
        <v>0</v>
      </c>
      <c r="U25" s="91">
        <v>0</v>
      </c>
      <c r="V25" s="258">
        <f>IF((_xlfn.SINGLE(LOAA)&gt;_xlfn.SINGLE(LOA)),_xlfn.SINGLE(LOAA),_xlfn.SINGLE(LOA)-_xlfn.SINGLE(FOC)-_xlfn.SINGLE(AOC))</f>
        <v>12.1</v>
      </c>
      <c r="W25" s="259">
        <f>IF(RL&gt;0,IF(RL&gt;'Look Ups'!Y$7,'Look Ups'!Y$8,('Look Ups'!Y$3*RL^3+'Look Ups'!Y$4*RL^2+'Look Ups'!Y$5*RL+'Look Ups'!Y$6)),0)</f>
        <v>0.3</v>
      </c>
      <c r="X25" s="92">
        <v>2320</v>
      </c>
      <c r="Y25" s="262">
        <f ca="1">IF(WDATE&lt;(TODAY()-'Look Ups'!$D$4*365),-WM*'Look Ups'!$D$5/100,0)</f>
        <v>0</v>
      </c>
      <c r="Z25" s="93"/>
      <c r="AA25" s="104"/>
      <c r="AB25" s="75"/>
      <c r="AC25" s="268">
        <f>WCD+NC*'Look Ups'!$AF$3</f>
        <v>0</v>
      </c>
      <c r="AD25" s="268">
        <f ca="1">IF(RL&lt;'Look Ups'!AM$3,'Look Ups'!AM$4,IF(RL&gt;'Look Ups'!AM$5,'Look Ups'!AM$6,(RL-'Look Ups'!AM$3)/('Look Ups'!AM$5-'Look Ups'!AM$3)*('Look Ups'!AM$6-'Look Ups'!AM$4)+'Look Ups'!AM$4))/100*WS</f>
        <v>240.43636363636355</v>
      </c>
      <c r="AE25" s="269">
        <f ca="1">WM+WP+WE</f>
        <v>2320</v>
      </c>
      <c r="AF25" s="267">
        <f ca="1">_xlfn.SINGLE(WS)+IF(_xlfn.SINGLE(TCW)&gt;=_xlfn.SINGLE(CWA),_xlfn.SINGLE(CWA),_xlfn.SINGLE(TCW))</f>
        <v>2320</v>
      </c>
      <c r="AG25" s="94" t="s">
        <v>145</v>
      </c>
      <c r="AH25" s="95" t="s">
        <v>146</v>
      </c>
      <c r="AI25" s="96" t="s">
        <v>147</v>
      </c>
      <c r="AJ25" s="218"/>
      <c r="AK25" s="273">
        <f>IF(C25="",0,VLOOKUP(AG25,'Look Ups'!$F$3:$G$6,2,0)*VLOOKUP(AH25,'Look Ups'!$I$3:$J$5,2,0)*VLOOKUP(AI25,'Look Ups'!$L$3:$M$7,2,0)*IF(AJ25="",1,VLOOKUP(AJ25,'Look Ups'!$O$3:$P$4,2,0)))</f>
        <v>1</v>
      </c>
      <c r="AL25" s="83">
        <v>15.88</v>
      </c>
      <c r="AM25" s="91">
        <v>15.47</v>
      </c>
      <c r="AN25" s="91">
        <v>4.2300000000000004</v>
      </c>
      <c r="AO25" s="91">
        <v>1.93</v>
      </c>
      <c r="AP25" s="91">
        <v>0.33</v>
      </c>
      <c r="AQ25" s="91">
        <v>15.8</v>
      </c>
      <c r="AR25" s="91">
        <v>0.15</v>
      </c>
      <c r="AS25" s="91">
        <v>4.33</v>
      </c>
      <c r="AT25" s="91">
        <v>0.02</v>
      </c>
      <c r="AU25" s="91">
        <v>0.55000000000000004</v>
      </c>
      <c r="AV25" s="91" t="s">
        <v>148</v>
      </c>
      <c r="AW25" s="97" t="s">
        <v>199</v>
      </c>
      <c r="AX25" s="256">
        <f>P+ER</f>
        <v>15.82</v>
      </c>
      <c r="AY25" s="256">
        <f>P*0.375*MC</f>
        <v>3.2587500000000005</v>
      </c>
      <c r="AZ25" s="275">
        <f>IF(C25="",0,(0.5*(_ML1*LPM)+0.5*(_ML1*HB)+0.66*(P*PR)+0.66*(_ML2*RDM)+0.66*(E*ER))*VLOOKUP(BATT,'Look Ups'!$U$3:$V$4,2,0))</f>
        <v>53.901122000000001</v>
      </c>
      <c r="BA25" s="98"/>
      <c r="BB25" s="99"/>
      <c r="BC25" s="83">
        <v>12.55</v>
      </c>
      <c r="BD25" s="91">
        <v>3.96</v>
      </c>
      <c r="BE25" s="91">
        <v>3.94</v>
      </c>
      <c r="BF25" s="91">
        <v>0.06</v>
      </c>
      <c r="BG25" s="91">
        <v>12.04</v>
      </c>
      <c r="BH25" s="91">
        <v>11.96</v>
      </c>
      <c r="BI25" s="91">
        <v>0.24</v>
      </c>
      <c r="BJ25" s="91">
        <v>0</v>
      </c>
      <c r="BK25" s="91">
        <v>0</v>
      </c>
      <c r="BL25" s="97" t="s">
        <v>199</v>
      </c>
      <c r="BM25" s="275">
        <f>(0.5*LL*LPG)+(0.5*_LG1*HG)+(0.66*LL*LLRG)+(0.66*FG*FRG)+(IF((HG&gt;0),(0.66*_LG2*LRG),(0.66*_LG1*LRG)))</f>
        <v>26.449824</v>
      </c>
      <c r="BN25" s="282"/>
      <c r="BO25" s="283"/>
      <c r="BP25" s="284"/>
      <c r="BQ25" s="284"/>
      <c r="BR25" s="283"/>
      <c r="BS25" s="284"/>
      <c r="BT25" s="284"/>
      <c r="BU25" s="280">
        <f>(0.5*LLS*LPS)+(0.66*LLS*LLRS)+(0.66*LS*LRS)+(0.66*FS*FRS)</f>
        <v>0</v>
      </c>
      <c r="BV25" s="285"/>
      <c r="BW25" s="283"/>
      <c r="BX25" s="283"/>
      <c r="BY25" s="283"/>
      <c r="BZ25" s="283"/>
      <c r="CA25" s="283"/>
      <c r="CB25" s="283"/>
      <c r="CC25" s="275">
        <f>(0.5*LLD*LPD)+(0.66*LLD*LLRD)+(0.66*LCHD*LRD)+(0.66*FD*FRD)</f>
        <v>0</v>
      </c>
      <c r="CD25" s="98"/>
      <c r="CE25" s="91"/>
      <c r="CF25" s="91"/>
      <c r="CG25" s="91"/>
      <c r="CH25" s="266" t="str">
        <f>IF(SF&gt;0,SMG/SF*100,"")</f>
        <v/>
      </c>
      <c r="CI25" s="283"/>
      <c r="CJ25" s="280">
        <f>SF*(_SL1+_SL2)/4+(SMG-SF/2)*(_SL1+_SL2)/3</f>
        <v>0</v>
      </c>
      <c r="CK25" s="83">
        <v>10.4</v>
      </c>
      <c r="CL25" s="91">
        <v>16.52</v>
      </c>
      <c r="CM25" s="91">
        <v>16.12</v>
      </c>
      <c r="CN25" s="91">
        <v>5.79</v>
      </c>
      <c r="CO25" s="256">
        <f>IF(SCRF&gt;0,SCRMG/SCRF*100,"")</f>
        <v>55.673076923076927</v>
      </c>
      <c r="CP25" s="283"/>
      <c r="CQ25" s="256">
        <f>SCRF*(SCRL1+SCRL2)/4+(SCRMG-SCRF/2)*(SCRL1+SCRL2)/3</f>
        <v>91.283200000000008</v>
      </c>
      <c r="CR25" s="256" t="str">
        <f>IF(CO25&lt;'Look Ups'!$AC$4,"Yes","No")</f>
        <v>No</v>
      </c>
      <c r="CS25" s="267">
        <f>IF(CR25="Yes",MIN(150,('Look Ups'!$AC$4-PSCR)/('Look Ups'!$AC$4-'Look Ups'!$AC$3)*100),0)</f>
        <v>0</v>
      </c>
      <c r="CT25" s="83"/>
      <c r="CU25" s="91"/>
      <c r="CV25" s="91"/>
      <c r="CW25" s="91"/>
      <c r="CX25" s="256" t="str">
        <f>IF(USCRF&gt;0,USCRMG/USCRF*100,"")</f>
        <v/>
      </c>
      <c r="CY25" s="293">
        <f>IF(PUSCR&lt;'Look Ups'!$AC$4,MIN(150,('Look Ups'!$AC$4-PUSCR)/('Look Ups'!$AC$4-'Look Ups'!$AC$3)*100),0)</f>
        <v>0</v>
      </c>
      <c r="CZ25" s="275">
        <f>IF(PUSCR&lt;'Look Ups'!$AC$4,USCRF*(USCRL1+USCRL2)/4+(USCRMG-USCRF/2)*(USCRL1+USCRL2)/3,0)</f>
        <v>0</v>
      </c>
      <c r="DA25" s="294">
        <f>IF(ZVAL=1,1,IF(LPM&gt;0,0.64*((AM+MAM)/(E+(MC/2))^2)^0.3,0))</f>
        <v>1</v>
      </c>
      <c r="DB25" s="256">
        <f>0.65*((AM+MAM)*EFM)+0.35*((AM+MAM)*ZVAL)</f>
        <v>57.159872000000007</v>
      </c>
      <c r="DC25" s="256">
        <f>IF(ZVAL=1,1,IF(LPG&gt;0,0.72*(AG/(LPG^2))^0.3,0))</f>
        <v>1</v>
      </c>
      <c r="DD25" s="256">
        <f>AG*EFG</f>
        <v>26.449824</v>
      </c>
      <c r="DE25" s="256">
        <f>IF(AZ25&gt;0,'Look Ups'!$S$3,0)</f>
        <v>1</v>
      </c>
      <c r="DF25" s="256">
        <f>IF(LPS&gt;0,0.72*(AS/(LPS^2))^0.3,0)</f>
        <v>0</v>
      </c>
      <c r="DG25" s="256">
        <f>EFS*AS</f>
        <v>0</v>
      </c>
      <c r="DH25" s="256">
        <f>IF(LPD&gt;0,0.72*(AD/(LPD^2))^0.3,0)</f>
        <v>0</v>
      </c>
      <c r="DI25" s="280">
        <f>IF((AD-AG)&gt;0,0.3*(AD-AG)*EFD,0)</f>
        <v>0</v>
      </c>
      <c r="DJ25" s="295" t="str">
        <f>IF((SCRF=0),"-",IF(AND(MSASC&gt;AG,SCRMG&lt;(0.75*SCRF)),"valid","ERROR"))</f>
        <v>valid</v>
      </c>
      <c r="DK25" s="266" t="str">
        <f>IF((SF=0),"-",IF((SMG&lt;(0.75*SF)),"ERROR",IF(AND(MSASP&gt;MSASC,MSASP&gt;AG,MSASP&gt;=0.36*RSAM),"valid","Small")))</f>
        <v>-</v>
      </c>
      <c r="DL25" s="267" t="str">
        <f>IF(C25="","",CONCATENATE("MG",IF(FLSCR="valid","Scr",""),IF(FLSPI="valid","SP","")))</f>
        <v>MGScr</v>
      </c>
      <c r="DM25" s="294">
        <f>RSAM+RSAG</f>
        <v>83.609696000000014</v>
      </c>
      <c r="DN25" s="256">
        <f>IF(MSASP&gt;0,'Look Ups'!$AI$4*(ZVAL*MSASP-RSAG),0)</f>
        <v>0</v>
      </c>
      <c r="DO25" s="256">
        <f>IF(AND(MSASC&gt;0,(MSASC&gt;=0.36*RSAM)),('Look Ups'!$AI$3*(ZVAL*MSASC-RSAG)),(0))</f>
        <v>22.691681600000003</v>
      </c>
      <c r="DP25" s="256">
        <f>IF(MSASP&gt;0,'Look Ups'!$AI$5*(ZVAL*MSASP-RSAG),0)</f>
        <v>0</v>
      </c>
      <c r="DQ25" s="256">
        <f>IF(MSASC&gt;0,'Look Ups'!$AI$6*(MSASC-RSAG),0)</f>
        <v>4.5383363200000018</v>
      </c>
      <c r="DR25" s="280">
        <f>'Look Ups'!$AI$7*MAX(IF(MSAUSC&gt;0,EUSC/100*(MSAUSC-RSAG),0),IF(CR25="Yes",ELSC/100*(MSASC-RSAG),0))</f>
        <v>0</v>
      </c>
      <c r="DS25" s="280">
        <f>0.36*RSAM</f>
        <v>20.577553920000003</v>
      </c>
      <c r="DT25" s="296">
        <f>_xlfn.IFS(SPC="MG",RAMG+DS25,SPC="MGScr",RAMG+RASCO,SPC="MGSp",RAMG+RASPO,SPC="MGScrSp",RAMG+RASPSC+RASCR)+RAUSC+RSAST+RSAD+RSAMZ+RSA2M</f>
        <v>106.30137760000002</v>
      </c>
      <c r="DU25" s="63"/>
    </row>
    <row r="26" spans="1:125" ht="15.6" customHeight="1" x14ac:dyDescent="0.3">
      <c r="A26" s="4"/>
      <c r="B26" s="84"/>
      <c r="C26" s="64" t="s">
        <v>200</v>
      </c>
      <c r="D26" s="85" t="s">
        <v>201</v>
      </c>
      <c r="E26" s="86" t="s">
        <v>202</v>
      </c>
      <c r="F26" s="252">
        <f ca="1">IF(RW=0,0,ROUND(DLF*0.93*RL^LF*RSA^0.4/RW^0.325,3))</f>
        <v>1.4259999999999999</v>
      </c>
      <c r="G26" s="252" t="str">
        <f ca="1">IF(OR(FLSCR="ERROR",FLSPI="ERROR"),"No",IF(TODAY()-'Look Ups'!$D$4*365&gt;I26,"WP Applied","Yes"))</f>
        <v>Yes</v>
      </c>
      <c r="H26" s="253" t="str">
        <f>IF(SPC="","",CONCATENATE("Main-Genoa",IF(FLSCR="valid",IF(OR(CR26="Yes",MSAUSC&gt;0),"-Screacher (Upwind)","-Screacher"),""),IF(FLSPI="valid","-Spinnaker",""),IF(RSAMZ&gt;0,"-Mizzen",""),IF(RSA2M&gt;0,"-Second Main",""),IF(AS&gt;0,"-Staysail",""),IF(AD&gt;0,"-Drifter","")))</f>
        <v>Main-Genoa-Screacher</v>
      </c>
      <c r="I26" s="1">
        <v>43539</v>
      </c>
      <c r="J26" s="1">
        <v>43551</v>
      </c>
      <c r="K26" s="87" t="s">
        <v>186</v>
      </c>
      <c r="L26" s="87" t="s">
        <v>142</v>
      </c>
      <c r="M26" s="207"/>
      <c r="N26" s="88" t="s">
        <v>143</v>
      </c>
      <c r="O26" s="88"/>
      <c r="P26" s="100"/>
      <c r="Q26" s="90">
        <v>21.65</v>
      </c>
      <c r="R26" s="87"/>
      <c r="S26" s="256">
        <f>IF((LOAA&gt;LOA),0.025*LOAA,0.025*LOA)</f>
        <v>0.54125000000000001</v>
      </c>
      <c r="T26" s="117"/>
      <c r="U26" s="117">
        <v>0</v>
      </c>
      <c r="V26" s="258">
        <f>IF((_xlfn.SINGLE(LOAA)&gt;_xlfn.SINGLE(LOA)),_xlfn.SINGLE(LOAA),_xlfn.SINGLE(LOA)-_xlfn.SINGLE(FOC)-_xlfn.SINGLE(AOC))</f>
        <v>21.65</v>
      </c>
      <c r="W26" s="259">
        <f>IF(RL&gt;0,IF(RL&gt;'Look Ups'!Y$7,'Look Ups'!Y$8,('Look Ups'!Y$3*RL^3+'Look Ups'!Y$4*RL^2+'Look Ups'!Y$5*RL+'Look Ups'!Y$6)),0)</f>
        <v>0.3</v>
      </c>
      <c r="X26" s="92">
        <f>6645-15</f>
        <v>6630</v>
      </c>
      <c r="Y26" s="263">
        <f ca="1">IF(WDATE&lt;(TODAY()-'Look Ups'!$D$4*365),-WM*'Look Ups'!$D$5/100,0)</f>
        <v>0</v>
      </c>
      <c r="Z26" s="103"/>
      <c r="AA26" s="427"/>
      <c r="AB26" s="428"/>
      <c r="AC26" s="265">
        <f>WCD+NC*'Look Ups'!$AF$3</f>
        <v>0</v>
      </c>
      <c r="AD26" s="265">
        <f ca="1">IF(RL&lt;'Look Ups'!AM$3,'Look Ups'!AM$4,IF(RL&gt;'Look Ups'!AM$5,'Look Ups'!AM$6,(RL-'Look Ups'!AM$3)/('Look Ups'!AM$5-'Look Ups'!AM$3)*('Look Ups'!AM$6-'Look Ups'!AM$4)+'Look Ups'!AM$4))/100*WS</f>
        <v>663</v>
      </c>
      <c r="AE26" s="269">
        <f ca="1">WM+WP+WE</f>
        <v>6630</v>
      </c>
      <c r="AF26" s="267">
        <f ca="1">_xlfn.SINGLE(WS)+IF(_xlfn.SINGLE(TCW)&gt;=_xlfn.SINGLE(CWA),_xlfn.SINGLE(CWA),_xlfn.SINGLE(TCW))</f>
        <v>6630</v>
      </c>
      <c r="AG26" s="94" t="s">
        <v>145</v>
      </c>
      <c r="AH26" s="95" t="s">
        <v>146</v>
      </c>
      <c r="AI26" s="96" t="s">
        <v>187</v>
      </c>
      <c r="AJ26" s="218"/>
      <c r="AK26" s="273">
        <f>IF(C26="",0,VLOOKUP(AG26,'Look Ups'!$F$3:$G$6,2,0)*VLOOKUP(AH26,'Look Ups'!$I$3:$J$5,2,0)*VLOOKUP(AI26,'Look Ups'!$L$3:$M$7,2,0)*IF(AJ26="",1,VLOOKUP(AJ26,'Look Ups'!$O$3:$P$4,2,0)))</f>
        <v>0.995</v>
      </c>
      <c r="AL26" s="83">
        <v>26.3</v>
      </c>
      <c r="AM26" s="91">
        <v>26.37</v>
      </c>
      <c r="AN26" s="91">
        <v>7.82</v>
      </c>
      <c r="AO26" s="91">
        <v>3.98</v>
      </c>
      <c r="AP26" s="91">
        <v>0.84</v>
      </c>
      <c r="AQ26" s="91">
        <v>26.1</v>
      </c>
      <c r="AR26" s="91">
        <v>0.05</v>
      </c>
      <c r="AS26" s="91">
        <v>7.95</v>
      </c>
      <c r="AT26" s="91">
        <v>0.04</v>
      </c>
      <c r="AU26" s="91">
        <v>1.84</v>
      </c>
      <c r="AV26" s="91" t="s">
        <v>148</v>
      </c>
      <c r="AW26" s="97"/>
      <c r="AX26" s="256">
        <f>P+ER</f>
        <v>26.14</v>
      </c>
      <c r="AY26" s="256">
        <f>P*0.375*MC</f>
        <v>18.009000000000004</v>
      </c>
      <c r="AZ26" s="275">
        <f>IF(C26="",0,(0.5*(_ML1*LPM)+0.5*(_ML1*HB)+0.66*(P*PR)+0.66*(_ML2*RDM)+0.66*(E*ER))*VLOOKUP(BATT,'Look Ups'!$U$3:$V$4,2,0))</f>
        <v>170.86070800000002</v>
      </c>
      <c r="BA26" s="98"/>
      <c r="BB26" s="99"/>
      <c r="BC26" s="83">
        <v>25.5</v>
      </c>
      <c r="BD26" s="91">
        <v>9.66</v>
      </c>
      <c r="BE26" s="91">
        <v>10.48</v>
      </c>
      <c r="BF26" s="91">
        <v>0.15</v>
      </c>
      <c r="BG26" s="91">
        <v>23.34</v>
      </c>
      <c r="BH26" s="91"/>
      <c r="BI26" s="91"/>
      <c r="BJ26" s="91">
        <v>0.18</v>
      </c>
      <c r="BK26" s="91">
        <v>-0.05</v>
      </c>
      <c r="BL26" s="97"/>
      <c r="BM26" s="275">
        <f>(0.5*LL*LPG)+(0.5*_LG1*HG)+(0.66*LL*LLRG)+(0.66*FG*FRG)+(IF((HG&gt;0),(0.66*_LG2*LRG),(0.66*_LG1*LRG)))</f>
        <v>126.13381200000001</v>
      </c>
      <c r="BN26" s="282"/>
      <c r="BO26" s="283"/>
      <c r="BP26" s="284"/>
      <c r="BQ26" s="284"/>
      <c r="BR26" s="283"/>
      <c r="BS26" s="284"/>
      <c r="BT26" s="284"/>
      <c r="BU26" s="280">
        <f>(0.5*LLS*LPS)+(0.66*LLS*LLRS)+(0.66*LS*LRS)+(0.66*FS*FRS)</f>
        <v>0</v>
      </c>
      <c r="BV26" s="285"/>
      <c r="BW26" s="283"/>
      <c r="BX26" s="283"/>
      <c r="BY26" s="283"/>
      <c r="BZ26" s="283"/>
      <c r="CA26" s="283"/>
      <c r="CB26" s="283"/>
      <c r="CC26" s="275">
        <f>(0.5*LLD*LPD)+(0.66*LLD*LLRD)+(0.66*LCHD*LRD)+(0.66*FD*FRD)</f>
        <v>0</v>
      </c>
      <c r="CD26" s="98"/>
      <c r="CE26" s="91"/>
      <c r="CF26" s="91"/>
      <c r="CG26" s="91"/>
      <c r="CH26" s="266" t="str">
        <f>IF(SF&gt;0,SMG/SF*100,"")</f>
        <v/>
      </c>
      <c r="CI26" s="283"/>
      <c r="CJ26" s="280">
        <f>SF*(_SL1+_SL2)/4+(SMG-SF/2)*(_SL1+_SL2)/3</f>
        <v>0</v>
      </c>
      <c r="CK26" s="83">
        <v>18.84</v>
      </c>
      <c r="CL26" s="91">
        <v>31.55</v>
      </c>
      <c r="CM26" s="91">
        <v>25.97</v>
      </c>
      <c r="CN26" s="91">
        <v>10.63</v>
      </c>
      <c r="CO26" s="256">
        <f>IF(SCRF&gt;0,SCRMG/SCRF*100,"")</f>
        <v>56.42250530785563</v>
      </c>
      <c r="CP26" s="283"/>
      <c r="CQ26" s="256">
        <f>SCRF*(SCRL1+SCRL2)/4+(SCRMG-SCRF/2)*(SCRL1+SCRL2)/3</f>
        <v>294.11893333333336</v>
      </c>
      <c r="CR26" s="256" t="str">
        <f>IF(CO26&lt;'Look Ups'!$AC$4,"Yes","No")</f>
        <v>No</v>
      </c>
      <c r="CS26" s="293">
        <f>IF(CR26="Yes",MIN(150,('Look Ups'!$AC$4-PSCR)/('Look Ups'!$AC$4-'Look Ups'!$AC$3)*100),0)</f>
        <v>0</v>
      </c>
      <c r="CT26" s="83"/>
      <c r="CU26" s="91"/>
      <c r="CV26" s="91"/>
      <c r="CW26" s="91"/>
      <c r="CX26" s="256" t="str">
        <f>IF(USCRF&gt;0,USCRMG/USCRF*100,"")</f>
        <v/>
      </c>
      <c r="CY26" s="293">
        <f>IF(PUSCR&lt;'Look Ups'!$AC$4,MIN(150,('Look Ups'!$AC$4-PUSCR)/('Look Ups'!$AC$4-'Look Ups'!$AC$3)*100),0)</f>
        <v>0</v>
      </c>
      <c r="CZ26" s="275">
        <f>IF(PUSCR&lt;'Look Ups'!$AC$4,USCRF*(USCRL1+USCRL2)/4+(USCRMG-USCRF/2)*(USCRL1+USCRL2)/3,0)</f>
        <v>0</v>
      </c>
      <c r="DA26" s="294">
        <f>IF(ZVAL=1,1,IF(LPM&gt;0,0.64*((AM+MAM)/(E+(MC/2))^2)^0.3,0))</f>
        <v>1</v>
      </c>
      <c r="DB26" s="256">
        <f>0.65*((AM+MAM)*EFM)+0.35*((AM+MAM)*ZVAL)</f>
        <v>188.86970800000003</v>
      </c>
      <c r="DC26" s="256">
        <f>IF(ZVAL=1,1,IF(LPG&gt;0,0.72*(AG/(LPG^2))^0.3,0))</f>
        <v>1</v>
      </c>
      <c r="DD26" s="256">
        <f>AG*EFG</f>
        <v>126.13381200000001</v>
      </c>
      <c r="DE26" s="256">
        <f>IF(AZ26&gt;0,'Look Ups'!$S$3,0)</f>
        <v>1</v>
      </c>
      <c r="DF26" s="256">
        <f>IF(LPS&gt;0,0.72*(AS/(LPS^2))^0.3,0)</f>
        <v>0</v>
      </c>
      <c r="DG26" s="256">
        <f>EFS*AS</f>
        <v>0</v>
      </c>
      <c r="DH26" s="256">
        <f>IF(LPD&gt;0,0.72*(AD/(LPD^2))^0.3,0)</f>
        <v>0</v>
      </c>
      <c r="DI26" s="280">
        <f>IF((AD-AG)&gt;0,0.3*(AD-AG)*EFD,0)</f>
        <v>0</v>
      </c>
      <c r="DJ26" s="295" t="str">
        <f>IF((SCRF=0),"-",IF(AND(MSASC&gt;AG,SCRMG&lt;(0.75*SCRF)),"valid","ERROR"))</f>
        <v>valid</v>
      </c>
      <c r="DK26" s="266" t="str">
        <f>IF((SF=0),"-",IF((SMG&lt;(0.75*SF)),"ERROR",IF(AND(MSASP&gt;MSASC,MSASP&gt;AG,MSASP&gt;=0.36*RSAM),"valid","Small")))</f>
        <v>-</v>
      </c>
      <c r="DL26" s="267" t="str">
        <f>IF(C26="","",CONCATENATE("MG",IF(FLSCR="valid","Scr",""),IF(FLSPI="valid","SP","")))</f>
        <v>MGScr</v>
      </c>
      <c r="DM26" s="294">
        <f>RSAM+RSAG</f>
        <v>315.00352000000004</v>
      </c>
      <c r="DN26" s="256">
        <f>IF(MSASP&gt;0,'Look Ups'!$AI$4*(ZVAL*MSASP-RSAG),0)</f>
        <v>0</v>
      </c>
      <c r="DO26" s="256">
        <f>IF(AND(MSASC&gt;0,(MSASC&gt;=0.36*RSAM)),('Look Ups'!$AI$3*(ZVAL*MSASC-RSAG)),(0))</f>
        <v>58.794792466666671</v>
      </c>
      <c r="DP26" s="256">
        <f>IF(MSASP&gt;0,'Look Ups'!$AI$5*(ZVAL*MSASP-RSAG),0)</f>
        <v>0</v>
      </c>
      <c r="DQ26" s="256">
        <f>IF(MSASC&gt;0,'Look Ups'!$AI$6*(MSASC-RSAG),0)</f>
        <v>11.758958493333337</v>
      </c>
      <c r="DR26" s="280">
        <f>'Look Ups'!$AI$7*MAX(IF(MSAUSC&gt;0,EUSC/100*(MSAUSC-RSAG),0),IF(CR26="Yes",ELSC/100*(MSASC-RSAG),0))</f>
        <v>0</v>
      </c>
      <c r="DS26" s="280">
        <f>0.36*RSAM</f>
        <v>67.993094880000015</v>
      </c>
      <c r="DT26" s="296">
        <f>_xlfn.IFS(SPC="MG",RAMG+DS26,SPC="MGScr",RAMG+RASCO,SPC="MGSp",RAMG+RASPO,SPC="MGScrSp",RAMG+RASPSC+RASCR)+RAUSC+RSAST+RSAD+RSAMZ+RSA2M</f>
        <v>373.79831246666669</v>
      </c>
      <c r="DU26" s="63"/>
    </row>
    <row r="27" spans="1:125" ht="15.6" customHeight="1" x14ac:dyDescent="0.3">
      <c r="A27" s="4"/>
      <c r="B27" s="64"/>
      <c r="C27" s="64" t="s">
        <v>203</v>
      </c>
      <c r="D27" s="85" t="s">
        <v>204</v>
      </c>
      <c r="E27" s="426" t="s">
        <v>205</v>
      </c>
      <c r="F27" s="252">
        <f ca="1">IF(RW=0,0,ROUND(DLF*0.93*RL^LF*RSA^0.4/RW^0.325,3))</f>
        <v>0.84799999999999998</v>
      </c>
      <c r="G27" s="252" t="str">
        <f ca="1">IF(OR(FLSCR="ERROR",FLSPI="ERROR"),"No",IF(TODAY()-'Look Ups'!$D$4*365&gt;I27,"WP Applied","Yes"))</f>
        <v>Yes</v>
      </c>
      <c r="H27" s="253" t="str">
        <f>IF(SPC="","",CONCATENATE("Main-Genoa",IF(FLSCR="valid",IF(OR(CR27="Yes",MSAUSC&gt;0),"-Screacher (Upwind)","-Screacher"),""),IF(FLSPI="valid","-Spinnaker",""),IF(RSAMZ&gt;0,"-Mizzen",""),IF(RSA2M&gt;0,"-Second Main",""),IF(AS&gt;0,"-Staysail",""),IF(AD&gt;0,"-Drifter","")))</f>
        <v>Main-Genoa-Screacher (Upwind)-Spinnaker</v>
      </c>
      <c r="I27" s="1">
        <v>43175</v>
      </c>
      <c r="J27" s="1">
        <v>43175</v>
      </c>
      <c r="K27" s="87" t="s">
        <v>206</v>
      </c>
      <c r="L27" s="87" t="s">
        <v>142</v>
      </c>
      <c r="M27" s="207"/>
      <c r="N27" s="88" t="s">
        <v>143</v>
      </c>
      <c r="O27" s="88"/>
      <c r="P27" s="100"/>
      <c r="Q27" s="90">
        <v>9.34</v>
      </c>
      <c r="R27" s="87"/>
      <c r="S27" s="256">
        <f>IF((LOAA&gt;LOA),0.025*LOAA,0.025*LOA)</f>
        <v>0.23350000000000001</v>
      </c>
      <c r="T27" s="117"/>
      <c r="U27" s="117">
        <v>0</v>
      </c>
      <c r="V27" s="258">
        <f>IF((_xlfn.SINGLE(LOAA)&gt;_xlfn.SINGLE(LOA)),_xlfn.SINGLE(LOAA),_xlfn.SINGLE(LOA)-_xlfn.SINGLE(FOC)-_xlfn.SINGLE(AOC))</f>
        <v>9.34</v>
      </c>
      <c r="W27" s="259">
        <f>IF(RL&gt;0,IF(RL&gt;'Look Ups'!Y$7,'Look Ups'!Y$8,('Look Ups'!Y$3*RL^3+'Look Ups'!Y$4*RL^2+'Look Ups'!Y$5*RL+'Look Ups'!Y$6)),0)</f>
        <v>0.29738791663200004</v>
      </c>
      <c r="X27" s="92">
        <v>2710</v>
      </c>
      <c r="Y27" s="262">
        <f ca="1">IF(WDATE&lt;(TODAY()-'Look Ups'!$D$4*365),-WM*'Look Ups'!$D$5/100,0)</f>
        <v>0</v>
      </c>
      <c r="Z27" s="93"/>
      <c r="AA27" s="225"/>
      <c r="AB27" s="231"/>
      <c r="AC27" s="268">
        <f>WCD+NC*'Look Ups'!$AF$3</f>
        <v>0</v>
      </c>
      <c r="AD27" s="268">
        <f ca="1">IF(RL&lt;'Look Ups'!AM$3,'Look Ups'!AM$4,IF(RL&gt;'Look Ups'!AM$5,'Look Ups'!AM$6,(RL-'Look Ups'!AM$3)/('Look Ups'!AM$5-'Look Ups'!AM$3)*('Look Ups'!AM$6-'Look Ups'!AM$4)+'Look Ups'!AM$4))/100*WS</f>
        <v>552.83999999999992</v>
      </c>
      <c r="AE27" s="266">
        <f ca="1">WM+WP+WE</f>
        <v>2710</v>
      </c>
      <c r="AF27" s="267">
        <f ca="1">_xlfn.SINGLE(WS)+IF(_xlfn.SINGLE(TCW)&gt;=_xlfn.SINGLE(CWA),_xlfn.SINGLE(CWA),_xlfn.SINGLE(TCW))</f>
        <v>2710</v>
      </c>
      <c r="AG27" s="94" t="s">
        <v>145</v>
      </c>
      <c r="AH27" s="95" t="s">
        <v>146</v>
      </c>
      <c r="AI27" s="96" t="s">
        <v>147</v>
      </c>
      <c r="AJ27" s="218"/>
      <c r="AK27" s="273">
        <f>IF(C27="",0,VLOOKUP(AG27,'Look Ups'!$F$3:$G$6,2,0)*VLOOKUP(AH27,'Look Ups'!$I$3:$J$5,2,0)*VLOOKUP(AI27,'Look Ups'!$L$3:$M$7,2,0)*IF(AJ27="",1,VLOOKUP(AJ27,'Look Ups'!$O$3:$P$4,2,0)))</f>
        <v>1</v>
      </c>
      <c r="AL27" s="83">
        <v>13.85</v>
      </c>
      <c r="AM27" s="91">
        <v>13.55</v>
      </c>
      <c r="AN27" s="91">
        <v>4.3</v>
      </c>
      <c r="AO27" s="91">
        <v>1.01</v>
      </c>
      <c r="AP27" s="91">
        <v>0.81</v>
      </c>
      <c r="AQ27" s="91">
        <v>13.94</v>
      </c>
      <c r="AR27" s="91">
        <v>0.18</v>
      </c>
      <c r="AS27" s="91">
        <v>4.3</v>
      </c>
      <c r="AT27" s="91">
        <v>3.5000000000000003E-2</v>
      </c>
      <c r="AU27" s="91">
        <v>0.60000000000000009</v>
      </c>
      <c r="AV27" s="91" t="s">
        <v>148</v>
      </c>
      <c r="AW27" s="97" t="s">
        <v>207</v>
      </c>
      <c r="AX27" s="256">
        <f>P+ER</f>
        <v>13.975</v>
      </c>
      <c r="AY27" s="256">
        <f>P*0.375*MC</f>
        <v>3.1365000000000003</v>
      </c>
      <c r="AZ27" s="275">
        <f>IF(C27="",0,(0.5*(_ML1*LPM)+0.5*(_ML1*HB)+0.66*(P*PR)+0.66*(_ML2*RDM)+0.66*(E*ER))*VLOOKUP(BATT,'Look Ups'!$U$3:$V$4,2,0))</f>
        <v>45.770982000000004</v>
      </c>
      <c r="BA27" s="98"/>
      <c r="BB27" s="99"/>
      <c r="BC27" s="83">
        <v>11.49</v>
      </c>
      <c r="BD27" s="91">
        <v>4.79</v>
      </c>
      <c r="BE27" s="91">
        <v>5.24</v>
      </c>
      <c r="BF27" s="91">
        <v>0.1</v>
      </c>
      <c r="BG27" s="91">
        <v>10.53</v>
      </c>
      <c r="BH27" s="91"/>
      <c r="BI27" s="91"/>
      <c r="BJ27" s="91">
        <v>-0.27</v>
      </c>
      <c r="BK27" s="91">
        <v>0</v>
      </c>
      <c r="BL27" s="97" t="s">
        <v>208</v>
      </c>
      <c r="BM27" s="275">
        <f>(0.5*LL*LPG)+(0.5*_LG1*HG)+(0.66*LL*LLRG)+(0.66*FG*FRG)+(IF((HG&gt;0),(0.66*_LG2*LRG),(0.66*_LG1*LRG)))</f>
        <v>25.987943999999999</v>
      </c>
      <c r="BN27" s="282"/>
      <c r="BO27" s="283"/>
      <c r="BP27" s="284"/>
      <c r="BQ27" s="284"/>
      <c r="BR27" s="283"/>
      <c r="BS27" s="284"/>
      <c r="BT27" s="284"/>
      <c r="BU27" s="280">
        <f>(0.5*LLS*LPS)+(0.66*LLS*LLRS)+(0.66*LS*LRS)+(0.66*FS*FRS)</f>
        <v>0</v>
      </c>
      <c r="BV27" s="285"/>
      <c r="BW27" s="283"/>
      <c r="BX27" s="283"/>
      <c r="BY27" s="283"/>
      <c r="BZ27" s="283"/>
      <c r="CA27" s="283"/>
      <c r="CB27" s="283"/>
      <c r="CC27" s="275">
        <f>(0.5*LLD*LPD)+(0.66*LLD*LLRD)+(0.66*LCHD*LRD)+(0.66*FD*FRD)</f>
        <v>0</v>
      </c>
      <c r="CD27" s="98">
        <v>7.9</v>
      </c>
      <c r="CE27" s="91">
        <v>15.8</v>
      </c>
      <c r="CF27" s="91">
        <v>12.95</v>
      </c>
      <c r="CG27" s="91">
        <v>6.87</v>
      </c>
      <c r="CH27" s="266">
        <f>IF(SF&gt;0,SMG/SF*100,"")</f>
        <v>86.962025316455694</v>
      </c>
      <c r="CI27" s="283"/>
      <c r="CJ27" s="280">
        <f>SF*(_SL1+_SL2)/4+(SMG-SF/2)*(_SL1+_SL2)/3</f>
        <v>84.764583333333334</v>
      </c>
      <c r="CK27" s="83">
        <v>7.43</v>
      </c>
      <c r="CL27" s="91">
        <v>13.07</v>
      </c>
      <c r="CM27" s="91">
        <v>10.23</v>
      </c>
      <c r="CN27" s="91">
        <v>3.86</v>
      </c>
      <c r="CO27" s="256">
        <f>IF(SCRF&gt;0,SCRMG/SCRF*100,"")</f>
        <v>51.95154777927322</v>
      </c>
      <c r="CP27" s="283"/>
      <c r="CQ27" s="256">
        <f>SCRF*(SCRL1+SCRL2)/4+(SCRMG-SCRF/2)*(SCRL1+SCRL2)/3</f>
        <v>44.40591666666667</v>
      </c>
      <c r="CR27" s="256" t="str">
        <f>IF(CO27&lt;'Look Ups'!$AC$4,"Yes","No")</f>
        <v>Yes</v>
      </c>
      <c r="CS27" s="267">
        <f>IF(CR27="Yes",MIN(150,('Look Ups'!$AC$4-PSCR)/('Look Ups'!$AC$4-'Look Ups'!$AC$3)*100),0)</f>
        <v>0.96904441453560253</v>
      </c>
      <c r="CT27" s="83"/>
      <c r="CU27" s="91"/>
      <c r="CV27" s="91"/>
      <c r="CW27" s="91"/>
      <c r="CX27" s="256" t="str">
        <f>IF(USCRF&gt;0,USCRMG/USCRF*100,"")</f>
        <v/>
      </c>
      <c r="CY27" s="293">
        <f>IF(PUSCR&lt;'Look Ups'!$AC$4,MIN(150,('Look Ups'!$AC$4-PUSCR)/('Look Ups'!$AC$4-'Look Ups'!$AC$3)*100),0)</f>
        <v>0</v>
      </c>
      <c r="CZ27" s="275">
        <f>IF(PUSCR&lt;'Look Ups'!$AC$4,USCRF*(USCRL1+USCRL2)/4+(USCRMG-USCRF/2)*(USCRL1+USCRL2)/3,0)</f>
        <v>0</v>
      </c>
      <c r="DA27" s="294">
        <f>IF(ZVAL=1,1,IF(LPM&gt;0,0.64*((AM+MAM)/(E+(MC/2))^2)^0.3,0))</f>
        <v>1</v>
      </c>
      <c r="DB27" s="256">
        <f>0.65*((AM+MAM)*EFM)+0.35*((AM+MAM)*ZVAL)</f>
        <v>48.907482000000002</v>
      </c>
      <c r="DC27" s="256">
        <f>IF(ZVAL=1,1,IF(LPG&gt;0,0.72*(AG/(LPG^2))^0.3,0))</f>
        <v>1</v>
      </c>
      <c r="DD27" s="256">
        <f>AG*EFG</f>
        <v>25.987943999999999</v>
      </c>
      <c r="DE27" s="256">
        <f>IF(AZ27&gt;0,'Look Ups'!$S$3,0)</f>
        <v>1</v>
      </c>
      <c r="DF27" s="256">
        <f>IF(LPS&gt;0,0.72*(AS/(LPS^2))^0.3,0)</f>
        <v>0</v>
      </c>
      <c r="DG27" s="256">
        <f>EFS*AS</f>
        <v>0</v>
      </c>
      <c r="DH27" s="256">
        <f>IF(LPD&gt;0,0.72*(AD/(LPD^2))^0.3,0)</f>
        <v>0</v>
      </c>
      <c r="DI27" s="280">
        <f>IF((AD-AG)&gt;0,0.3*(AD-AG)*EFD,0)</f>
        <v>0</v>
      </c>
      <c r="DJ27" s="295" t="str">
        <f>IF((SCRF=0),"-",IF(AND(MSASC&gt;AG,SCRMG&lt;(0.75*SCRF)),"valid","ERROR"))</f>
        <v>valid</v>
      </c>
      <c r="DK27" s="266" t="str">
        <f>IF((SF=0),"-",IF((SMG&lt;(0.75*SF)),"ERROR",IF(AND(MSASP&gt;MSASC,MSASP&gt;AG,MSASP&gt;=0.36*RSAM),"valid","Small")))</f>
        <v>valid</v>
      </c>
      <c r="DL27" s="267" t="str">
        <f>IF(C27="","",CONCATENATE("MG",IF(FLSCR="valid","Scr",""),IF(FLSPI="valid","SP","")))</f>
        <v>MGScrSP</v>
      </c>
      <c r="DM27" s="294">
        <f>RSAM+RSAG</f>
        <v>74.895426</v>
      </c>
      <c r="DN27" s="256">
        <f>IF(MSASP&gt;0,'Look Ups'!$AI$4*(ZVAL*MSASP-RSAG),0)</f>
        <v>17.632991799999999</v>
      </c>
      <c r="DO27" s="256">
        <f>IF(AND(MSASC&gt;0,(MSASC&gt;=0.36*RSAM)),('Look Ups'!$AI$3*(ZVAL*MSASC-RSAG)),(0))</f>
        <v>6.4462904333333348</v>
      </c>
      <c r="DP27" s="256">
        <f>IF(MSASP&gt;0,'Look Ups'!$AI$5*(ZVAL*MSASP-RSAG),0)</f>
        <v>16.457459013333334</v>
      </c>
      <c r="DQ27" s="256">
        <f>IF(MSASC&gt;0,'Look Ups'!$AI$6*(MSASC-RSAG),0)</f>
        <v>1.2892580866666672</v>
      </c>
      <c r="DR27" s="280">
        <f>'Look Ups'!$AI$7*MAX(IF(MSAUSC&gt;0,EUSC/100*(MSAUSC-RSAG),0),IF(CR27="Yes",ELSC/100*(MSASC-RSAG),0))</f>
        <v>4.4619583849256836E-2</v>
      </c>
      <c r="DS27" s="280">
        <f>0.36*RSAM</f>
        <v>17.60669352</v>
      </c>
      <c r="DT27" s="296">
        <f>_xlfn.IFS(SPC="MG",RAMG+DS27,SPC="MGScr",RAMG+RASCO,SPC="MGSp",RAMG+RASPO,SPC="MGScrSp",RAMG+RASPSC+RASCR)+RAUSC+RSAST+RSAD+RSAMZ+RSA2M</f>
        <v>92.686762683849253</v>
      </c>
      <c r="DU27" s="63"/>
    </row>
    <row r="28" spans="1:125" ht="15.6" customHeight="1" x14ac:dyDescent="0.3">
      <c r="A28" s="4"/>
      <c r="B28" s="84"/>
      <c r="C28" s="84" t="s">
        <v>1138</v>
      </c>
      <c r="D28" s="112" t="s">
        <v>1143</v>
      </c>
      <c r="E28" s="395" t="s">
        <v>1139</v>
      </c>
      <c r="F28" s="252">
        <f ca="1">IF(RW=0,0,ROUND(DLF*0.93*RL^LF*RSA^0.4/RW^0.325,3))</f>
        <v>0.85199999999999998</v>
      </c>
      <c r="G28" s="252" t="str">
        <f ca="1">IF(OR(FLSCR="ERROR",FLSPI="ERROR"),"No",IF(TODAY()-'Look Ups'!$D$4*365&gt;I28,"WP Applied","Yes"))</f>
        <v>Yes</v>
      </c>
      <c r="H28" s="254" t="str">
        <f>IF(SPC="","",CONCATENATE("Main-Genoa",IF(FLSCR="valid",IF(OR(CR28="Yes",MSAUSC&gt;0),"-Screacher (Upwind)","-Screacher"),""),IF(FLSPI="valid","-Spinnaker",""),IF(RSAMZ&gt;0,"-Mizzen",""),IF(RSA2M&gt;0,"-Second Main",""),IF(AS&gt;0,"-Staysail",""),IF(AD&gt;0,"-Drifter","")))</f>
        <v>Main-Genoa-Screacher (Upwind)-Spinnaker</v>
      </c>
      <c r="I28" s="126">
        <v>45115</v>
      </c>
      <c r="J28" s="126">
        <v>45133</v>
      </c>
      <c r="K28" s="127" t="s">
        <v>974</v>
      </c>
      <c r="L28" s="127" t="s">
        <v>245</v>
      </c>
      <c r="M28" s="210"/>
      <c r="N28" s="140" t="s">
        <v>143</v>
      </c>
      <c r="O28" s="140" t="s">
        <v>154</v>
      </c>
      <c r="P28" s="141">
        <v>6.88</v>
      </c>
      <c r="Q28" s="130">
        <v>9.6999999999999993</v>
      </c>
      <c r="R28" s="127"/>
      <c r="S28" s="257">
        <f>IF((LOAA&gt;LOA),0.025*LOAA,0.025*LOA)</f>
        <v>0.24249999999999999</v>
      </c>
      <c r="T28" s="131">
        <v>0.12</v>
      </c>
      <c r="U28" s="131">
        <v>0</v>
      </c>
      <c r="V28" s="260">
        <f>IF((_xlfn.SINGLE(LOAA)&gt;_xlfn.SINGLE(LOA)),_xlfn.SINGLE(LOAA),_xlfn.SINGLE(LOA)-_xlfn.SINGLE(FOC)-_xlfn.SINGLE(AOC))</f>
        <v>9.58</v>
      </c>
      <c r="W28" s="261">
        <f>IF(RL&gt;0,IF(RL&gt;'Look Ups'!Y$7,'Look Ups'!Y$8,('Look Ups'!Y$3*RL^3+'Look Ups'!Y$4*RL^2+'Look Ups'!Y$5*RL+'Look Ups'!Y$6)),0)</f>
        <v>0.29783723109600002</v>
      </c>
      <c r="X28" s="132">
        <v>2325</v>
      </c>
      <c r="Y28" s="264">
        <f ca="1">IF(WDATE&lt;(TODAY()-'Look Ups'!$D$4*365),-WM*'Look Ups'!$D$5/100,0)</f>
        <v>0</v>
      </c>
      <c r="Z28" s="133"/>
      <c r="AA28" s="133"/>
      <c r="AB28" s="224"/>
      <c r="AC28" s="361">
        <f>WCD+NC*'Look Ups'!$AF$3</f>
        <v>0</v>
      </c>
      <c r="AD28" s="361">
        <f ca="1">IF(RL&lt;'Look Ups'!AM$3,'Look Ups'!AM$4,IF(RL&gt;'Look Ups'!AM$5,'Look Ups'!AM$6,(RL-'Look Ups'!AM$3)/('Look Ups'!AM$5-'Look Ups'!AM$3)*('Look Ups'!AM$6-'Look Ups'!AM$4)+'Look Ups'!AM$4))/100*WS</f>
        <v>454.0090909090909</v>
      </c>
      <c r="AE28" s="271">
        <f ca="1">WM+WP+WE</f>
        <v>2325</v>
      </c>
      <c r="AF28" s="272">
        <f ca="1">_xlfn.SINGLE(WS)+IF(_xlfn.SINGLE(TCW)&gt;=_xlfn.SINGLE(CWA),_xlfn.SINGLE(CWA),_xlfn.SINGLE(TCW))</f>
        <v>2325</v>
      </c>
      <c r="AG28" s="134" t="s">
        <v>145</v>
      </c>
      <c r="AH28" s="135" t="s">
        <v>146</v>
      </c>
      <c r="AI28" s="124" t="s">
        <v>147</v>
      </c>
      <c r="AJ28" s="219"/>
      <c r="AK28" s="274">
        <f>IF(C28="",0,VLOOKUP(AG28,'Look Ups'!$F$3:$G$6,2,0)*VLOOKUP(AH28,'Look Ups'!$I$3:$J$5,2,0)*VLOOKUP(AI28,'Look Ups'!$L$3:$M$7,2,0)*IF(AJ28="",1,VLOOKUP(AJ28,'Look Ups'!$O$3:$P$4,2,0)))</f>
        <v>1</v>
      </c>
      <c r="AL28" s="136">
        <v>11.68</v>
      </c>
      <c r="AM28" s="131">
        <v>11.29</v>
      </c>
      <c r="AN28" s="131">
        <v>4.0199999999999996</v>
      </c>
      <c r="AO28" s="131">
        <v>1.4</v>
      </c>
      <c r="AP28" s="131">
        <v>0.65</v>
      </c>
      <c r="AQ28" s="131">
        <v>11.05</v>
      </c>
      <c r="AR28" s="131">
        <v>0.11</v>
      </c>
      <c r="AS28" s="131">
        <v>4.3</v>
      </c>
      <c r="AT28" s="131">
        <v>0.2</v>
      </c>
      <c r="AU28" s="131">
        <v>0.56000000000000005</v>
      </c>
      <c r="AV28" s="131" t="s">
        <v>148</v>
      </c>
      <c r="AW28" s="128">
        <v>0</v>
      </c>
      <c r="AX28" s="257">
        <f>P+ER</f>
        <v>11.25</v>
      </c>
      <c r="AY28" s="257">
        <f>P*0.375*MC</f>
        <v>2.3205000000000005</v>
      </c>
      <c r="AZ28" s="276">
        <f>IF(C28="",0,(0.5*(_ML1*LPM)+0.5*(_ML1*HB)+0.66*(P*PR)+0.66*(_ML2*RDM)+0.66*(E*ER))*VLOOKUP(BATT,'Look Ups'!$U$3:$V$4,2,0))</f>
        <v>37.866039999999998</v>
      </c>
      <c r="BA28" s="137"/>
      <c r="BB28" s="138"/>
      <c r="BC28" s="227">
        <v>10.23</v>
      </c>
      <c r="BD28" s="228">
        <v>3.4</v>
      </c>
      <c r="BE28" s="228">
        <v>3.86</v>
      </c>
      <c r="BF28" s="228">
        <v>7.0000000000000007E-2</v>
      </c>
      <c r="BG28" s="228">
        <v>9.16</v>
      </c>
      <c r="BH28" s="228"/>
      <c r="BI28" s="228"/>
      <c r="BJ28" s="228">
        <v>0</v>
      </c>
      <c r="BK28" s="228">
        <v>0.05</v>
      </c>
      <c r="BL28" s="128">
        <v>0</v>
      </c>
      <c r="BM28" s="276">
        <f>(0.5*LL*LPG)+(0.5*_LG1*HG)+(0.66*LL*LLRG)+(0.66*FG*FRG)+(IF((HG&gt;0),(0.66*_LG2*LRG),(0.66*_LG1*LRG)))</f>
        <v>17.906922000000002</v>
      </c>
      <c r="BN28" s="287"/>
      <c r="BO28" s="288"/>
      <c r="BP28" s="289"/>
      <c r="BQ28" s="289"/>
      <c r="BR28" s="288"/>
      <c r="BS28" s="289"/>
      <c r="BT28" s="289"/>
      <c r="BU28" s="290">
        <f>(0.5*LLS*LPS)+(0.66*LLS*LLRS)+(0.66*LS*LRS)+(0.66*FS*FRS)</f>
        <v>0</v>
      </c>
      <c r="BV28" s="285"/>
      <c r="BW28" s="283"/>
      <c r="BX28" s="283"/>
      <c r="BY28" s="283"/>
      <c r="BZ28" s="283"/>
      <c r="CA28" s="283"/>
      <c r="CB28" s="283"/>
      <c r="CC28" s="276">
        <f>(0.5*LLD*LPD)+(0.66*LLD*LLRD)+(0.66*LCHD*LRD)+(0.66*FD*FRD)</f>
        <v>0</v>
      </c>
      <c r="CD28" s="137">
        <v>8.92</v>
      </c>
      <c r="CE28" s="131">
        <v>14.38</v>
      </c>
      <c r="CF28" s="131">
        <v>12.26</v>
      </c>
      <c r="CG28" s="131">
        <v>7.76</v>
      </c>
      <c r="CH28" s="271">
        <f>IF(SF&gt;0,SMG/SF*100,"")</f>
        <v>86.995515695067255</v>
      </c>
      <c r="CI28" s="292"/>
      <c r="CJ28" s="290">
        <f>SF*(_SL1+_SL2)/4+(SMG-SF/2)*(_SL1+_SL2)/3</f>
        <v>88.711200000000005</v>
      </c>
      <c r="CK28" s="227">
        <v>7.32</v>
      </c>
      <c r="CL28" s="228">
        <v>12.26</v>
      </c>
      <c r="CM28" s="228">
        <v>10.14</v>
      </c>
      <c r="CN28" s="228">
        <v>3.7</v>
      </c>
      <c r="CO28" s="257">
        <f>IF(SCRF&gt;0,SCRMG/SCRF*100,"")</f>
        <v>50.546448087431692</v>
      </c>
      <c r="CP28" s="292"/>
      <c r="CQ28" s="257">
        <f>SCRF*(SCRL1+SCRL2)/4+(SCRMG-SCRF/2)*(SCRL1+SCRL2)/3</f>
        <v>41.290666666666667</v>
      </c>
      <c r="CR28" s="257" t="str">
        <f>IF(CO28&lt;'Look Ups'!$AC$4,"Yes","No")</f>
        <v>Yes</v>
      </c>
      <c r="CS28" s="272">
        <f>IF(CR28="Yes",MIN(150,('Look Ups'!$AC$4-PSCR)/('Look Ups'!$AC$4-'Look Ups'!$AC$3)*100),0)</f>
        <v>29.071038251366161</v>
      </c>
      <c r="CT28" s="227"/>
      <c r="CU28" s="228"/>
      <c r="CV28" s="228"/>
      <c r="CW28" s="228"/>
      <c r="CX28" s="257" t="str">
        <f>IF(USCRF&gt;0,USCRMG/USCRF*100,"")</f>
        <v/>
      </c>
      <c r="CY28" s="297">
        <f>IF(PUSCR&lt;'Look Ups'!$AC$4,MIN(150,('Look Ups'!$AC$4-PUSCR)/('Look Ups'!$AC$4-'Look Ups'!$AC$3)*100),0)</f>
        <v>0</v>
      </c>
      <c r="CZ28" s="276">
        <f>IF(PUSCR&lt;'Look Ups'!$AC$4,USCRF*(USCRL1+USCRL2)/4+(USCRMG-USCRF/2)*(USCRL1+USCRL2)/3,0)</f>
        <v>0</v>
      </c>
      <c r="DA28" s="298">
        <f>IF(ZVAL=1,1,IF(LPM&gt;0,0.64*((AM+MAM)/(E+(MC/2))^2)^0.3,0))</f>
        <v>1</v>
      </c>
      <c r="DB28" s="257">
        <f>0.65*((AM+MAM)*EFM)+0.35*((AM+MAM)*ZVAL)</f>
        <v>40.186540000000001</v>
      </c>
      <c r="DC28" s="257">
        <f>IF(ZVAL=1,1,IF(LPG&gt;0,0.72*(AG/(LPG^2))^0.3,0))</f>
        <v>1</v>
      </c>
      <c r="DD28" s="257">
        <f>AG*EFG</f>
        <v>17.906922000000002</v>
      </c>
      <c r="DE28" s="257">
        <f>IF(AZ28&gt;0,'Look Ups'!$S$3,0)</f>
        <v>1</v>
      </c>
      <c r="DF28" s="257">
        <f>IF(LPS&gt;0,0.72*(AS/(LPS^2))^0.3,0)</f>
        <v>0</v>
      </c>
      <c r="DG28" s="257">
        <f>EFS*AS</f>
        <v>0</v>
      </c>
      <c r="DH28" s="257">
        <f>IF(LPD&gt;0,0.72*(AD/(LPD^2))^0.3,0)</f>
        <v>0</v>
      </c>
      <c r="DI28" s="290">
        <f>IF((AD-AG)&gt;0,0.3*(AD-AG)*EFD,0)</f>
        <v>0</v>
      </c>
      <c r="DJ28" s="299" t="str">
        <f>IF((SCRF=0),"-",IF(AND(MSASC&gt;AG,SCRMG&lt;(0.75*SCRF)),"valid","ERROR"))</f>
        <v>valid</v>
      </c>
      <c r="DK28" s="271" t="str">
        <f>IF((SF=0),"-",IF((SMG&lt;(0.75*SF)),"ERROR",IF(AND(MSASP&gt;MSASC,MSASP&gt;AG,MSASP&gt;=0.36*RSAM),"valid","Small")))</f>
        <v>valid</v>
      </c>
      <c r="DL28" s="272" t="str">
        <f>IF(C28="","",CONCATENATE("MG",IF(FLSCR="valid","Scr",""),IF(FLSPI="valid","SP","")))</f>
        <v>MGScrSP</v>
      </c>
      <c r="DM28" s="298">
        <f>RSAM+RSAG</f>
        <v>58.093462000000002</v>
      </c>
      <c r="DN28" s="257">
        <f>IF(MSASP&gt;0,'Look Ups'!$AI$4*(ZVAL*MSASP-RSAG),0)</f>
        <v>21.241283400000004</v>
      </c>
      <c r="DO28" s="257">
        <f>IF(AND(MSASC&gt;0,(MSASC&gt;=0.36*RSAM)),('Look Ups'!$AI$3*(ZVAL*MSASC-RSAG)),(0))</f>
        <v>8.1843106333333324</v>
      </c>
      <c r="DP28" s="257">
        <f>IF(MSASP&gt;0,'Look Ups'!$AI$5*(ZVAL*MSASP-RSAG),0)</f>
        <v>19.825197840000005</v>
      </c>
      <c r="DQ28" s="257">
        <f>IF(MSASC&gt;0,'Look Ups'!$AI$6*(MSASC-RSAG),0)</f>
        <v>1.6368621266666668</v>
      </c>
      <c r="DR28" s="290">
        <f>'Look Ups'!$AI$7*MAX(IF(MSAUSC&gt;0,EUSC/100*(MSAUSC-RSAG),0),IF(CR28="Yes",ELSC/100*(MSASC-RSAG),0))</f>
        <v>1.6994743391621152</v>
      </c>
      <c r="DS28" s="290">
        <f>0.36*RSAM</f>
        <v>14.4671544</v>
      </c>
      <c r="DT28" s="300">
        <f>_xlfn.IFS(SPC="MG",RAMG+DS28,SPC="MGScr",RAMG+RASCO,SPC="MGSp",RAMG+RASPO,SPC="MGScrSp",RAMG+RASPSC+RASCR)+RAUSC+RSAST+RSAD+RSAMZ+RSA2M</f>
        <v>81.254996305828783</v>
      </c>
      <c r="DU28" s="63"/>
    </row>
    <row r="29" spans="1:125" ht="15.6" customHeight="1" x14ac:dyDescent="0.3">
      <c r="A29" s="4"/>
      <c r="B29" s="84"/>
      <c r="C29" s="65" t="s">
        <v>1217</v>
      </c>
      <c r="D29" s="66" t="s">
        <v>443</v>
      </c>
      <c r="E29" s="67" t="s">
        <v>1218</v>
      </c>
      <c r="F29" s="252">
        <f ca="1">IF(RW=0,0,ROUND(DLF*0.93*RL^LF*RSA^0.4/RW^0.325,3))</f>
        <v>0.77100000000000002</v>
      </c>
      <c r="G29" s="252" t="str">
        <f ca="1">IF(OR(FLSCR="ERROR",FLSPI="ERROR"),"No",IF(TODAY()-'Look Ups'!$D$4*365&gt;I29,"WP Applied","Yes"))</f>
        <v>Yes</v>
      </c>
      <c r="H29" s="253" t="str">
        <f>IF(SPC="","",CONCATENATE("Main-Genoa",IF(FLSCR="valid",IF(OR(CR29="Yes",MSAUSC&gt;0),"-Screacher (Upwind)","-Screacher"),""),IF(FLSPI="valid","-Spinnaker",""),IF(RSAMZ&gt;0,"-Mizzen",""),IF(RSA2M&gt;0,"-Second Main",""),IF(AS&gt;0,"-Staysail",""),IF(AD&gt;0,"-Drifter","")))</f>
        <v>Main-Genoa-Screacher (Upwind)-Spinnaker</v>
      </c>
      <c r="I29" s="68">
        <v>45754</v>
      </c>
      <c r="J29" s="68">
        <v>45757</v>
      </c>
      <c r="K29" s="69" t="s">
        <v>142</v>
      </c>
      <c r="L29" s="69" t="s">
        <v>245</v>
      </c>
      <c r="M29" s="208"/>
      <c r="N29" s="70" t="s">
        <v>165</v>
      </c>
      <c r="O29" s="70" t="s">
        <v>144</v>
      </c>
      <c r="P29" s="71">
        <v>6.4</v>
      </c>
      <c r="Q29" s="72">
        <v>11.145</v>
      </c>
      <c r="R29" s="69"/>
      <c r="S29" s="256">
        <f>IF((LOAA&gt;LOA),0.025*LOAA,0.025*LOA)</f>
        <v>0.27862500000000001</v>
      </c>
      <c r="T29" s="73"/>
      <c r="U29" s="73"/>
      <c r="V29" s="258">
        <f>IF((_xlfn.SINGLE(LOAA)&gt;_xlfn.SINGLE(LOA)),_xlfn.SINGLE(LOAA),_xlfn.SINGLE(LOA)-_xlfn.SINGLE(FOC)-_xlfn.SINGLE(AOC))</f>
        <v>11.145</v>
      </c>
      <c r="W29" s="259">
        <f>IF(RL&gt;0,IF(RL&gt;'Look Ups'!Y$7,'Look Ups'!Y$8,('Look Ups'!Y$3*RL^3+'Look Ups'!Y$4*RL^2+'Look Ups'!Y$5*RL+'Look Ups'!Y$6)),0)</f>
        <v>0.29961501682962499</v>
      </c>
      <c r="X29" s="74">
        <v>4197</v>
      </c>
      <c r="Y29" s="262">
        <f ca="1">IF(WDATE&lt;(TODAY()-'Look Ups'!$D$4*365),-WM*'Look Ups'!$D$5/100,0)</f>
        <v>0</v>
      </c>
      <c r="Z29" s="75"/>
      <c r="AA29" s="75">
        <v>400</v>
      </c>
      <c r="AB29" s="75">
        <v>5</v>
      </c>
      <c r="AC29" s="268">
        <f>WCD+NC*'Look Ups'!$AF$3</f>
        <v>420</v>
      </c>
      <c r="AD29" s="268">
        <f ca="1">IF(RL&lt;'Look Ups'!AM$3,'Look Ups'!AM$4,IF(RL&gt;'Look Ups'!AM$5,'Look Ups'!AM$6,(RL-'Look Ups'!AM$3)/('Look Ups'!AM$5-'Look Ups'!AM$3)*('Look Ups'!AM$6-'Look Ups'!AM$4)+'Look Ups'!AM$4))/100*WS</f>
        <v>580.71218181818176</v>
      </c>
      <c r="AE29" s="266">
        <f ca="1">WM+WP+WE</f>
        <v>4197</v>
      </c>
      <c r="AF29" s="267">
        <f ca="1">_xlfn.SINGLE(WS)+IF(_xlfn.SINGLE(TCW)&gt;=_xlfn.SINGLE(CWA),_xlfn.SINGLE(CWA),_xlfn.SINGLE(TCW))</f>
        <v>4617</v>
      </c>
      <c r="AG29" s="76" t="s">
        <v>145</v>
      </c>
      <c r="AH29" s="77" t="s">
        <v>146</v>
      </c>
      <c r="AI29" s="78" t="s">
        <v>147</v>
      </c>
      <c r="AJ29" s="217"/>
      <c r="AK29" s="273">
        <f>IF(C29="",0,VLOOKUP(AG29,'Look Ups'!$F$3:$G$6,2,0)*VLOOKUP(AH29,'Look Ups'!$I$3:$J$5,2,0)*VLOOKUP(AI29,'Look Ups'!$L$3:$M$7,2,0)*IF(AJ29="",1,VLOOKUP(AJ29,'Look Ups'!$O$3:$P$4,2,0)))</f>
        <v>1</v>
      </c>
      <c r="AL29" s="79">
        <v>13.446999999999999</v>
      </c>
      <c r="AM29" s="73">
        <v>13.162000000000001</v>
      </c>
      <c r="AN29" s="73">
        <v>4.2876000000000003</v>
      </c>
      <c r="AO29" s="73">
        <v>1.357</v>
      </c>
      <c r="AP29" s="73">
        <v>0.41510999999999998</v>
      </c>
      <c r="AQ29" s="73">
        <v>13.1</v>
      </c>
      <c r="AR29" s="73">
        <v>4.5039000000000003E-2</v>
      </c>
      <c r="AS29" s="73">
        <v>4.3982999999999999</v>
      </c>
      <c r="AT29" s="73">
        <v>5.4933999999999997E-2</v>
      </c>
      <c r="AU29" s="73"/>
      <c r="AV29" s="73" t="s">
        <v>148</v>
      </c>
      <c r="AW29" s="80"/>
      <c r="AX29" s="256">
        <f>P+ER</f>
        <v>13.154933999999999</v>
      </c>
      <c r="AY29" s="256">
        <f>P*0.375*MC</f>
        <v>0</v>
      </c>
      <c r="AZ29" s="275">
        <f>IF(C29="",0,(0.5*(_ML1*LPM)+0.5*(_ML1*HB)+0.66*(P*PR)+0.66*(_ML2*RDM)+0.66*(E*ER))*VLOOKUP(BATT,'Look Ups'!$U$3:$V$4,2,0))</f>
        <v>42.106369355251999</v>
      </c>
      <c r="BA29" s="81"/>
      <c r="BB29" s="82"/>
      <c r="BC29" s="79">
        <v>13.1</v>
      </c>
      <c r="BD29" s="73">
        <v>4.3186</v>
      </c>
      <c r="BE29" s="73">
        <v>4.8986999999999998</v>
      </c>
      <c r="BF29" s="73">
        <v>0.108</v>
      </c>
      <c r="BG29" s="73">
        <v>11.467000000000001</v>
      </c>
      <c r="BH29" s="73">
        <v>11.444000000000001</v>
      </c>
      <c r="BI29" s="73">
        <v>5.6099999999999997E-2</v>
      </c>
      <c r="BJ29" s="73">
        <v>5.6000000000000001E-2</v>
      </c>
      <c r="BK29" s="73">
        <v>7.8100000000000003E-2</v>
      </c>
      <c r="BL29" s="80"/>
      <c r="BM29" s="275">
        <f>(0.5*LL*LPG)+(0.5*_LG1*HG)+(0.66*LL*LLRG)+(0.66*FG*FRG)+(IF((HG&gt;0),(0.66*_LG2*LRG),(0.66*_LG1*LRG)))</f>
        <v>30.055881526</v>
      </c>
      <c r="BN29" s="277"/>
      <c r="BO29" s="278"/>
      <c r="BP29" s="279"/>
      <c r="BQ29" s="279"/>
      <c r="BR29" s="278"/>
      <c r="BS29" s="279"/>
      <c r="BT29" s="279"/>
      <c r="BU29" s="280">
        <f>(0.5*LLS*LPS)+(0.66*LLS*LLRS)+(0.66*LS*LRS)+(0.66*FS*FRS)</f>
        <v>0</v>
      </c>
      <c r="BV29" s="281"/>
      <c r="BW29" s="278"/>
      <c r="BX29" s="278"/>
      <c r="BY29" s="278"/>
      <c r="BZ29" s="278"/>
      <c r="CA29" s="278"/>
      <c r="CB29" s="278"/>
      <c r="CC29" s="275">
        <f>(0.5*LLD*LPD)+(0.66*LLD*LLRD)+(0.66*LCHD*LRD)+(0.66*FD*FRD)</f>
        <v>0</v>
      </c>
      <c r="CD29" s="81">
        <v>9.9613999999999994</v>
      </c>
      <c r="CE29" s="73">
        <v>16.132000000000001</v>
      </c>
      <c r="CF29" s="73">
        <v>13.715</v>
      </c>
      <c r="CG29" s="73">
        <v>8.2230000000000008</v>
      </c>
      <c r="CH29" s="266">
        <f>IF(SF&gt;0,SMG/SF*100,"")</f>
        <v>82.54863774168291</v>
      </c>
      <c r="CI29" s="278"/>
      <c r="CJ29" s="280">
        <f>SF*(_SL1+_SL2)/4+(SMG-SF/2)*(_SL1+_SL2)/3</f>
        <v>106.58711915000001</v>
      </c>
      <c r="CK29" s="83">
        <v>8.4235000000000007</v>
      </c>
      <c r="CL29" s="73">
        <v>13.95</v>
      </c>
      <c r="CM29" s="73">
        <v>12.358000000000001</v>
      </c>
      <c r="CN29" s="73">
        <v>4.24</v>
      </c>
      <c r="CO29" s="256">
        <f>IF(SCRF&gt;0,SCRMG/SCRF*100,"")</f>
        <v>50.335371282720956</v>
      </c>
      <c r="CP29" s="278"/>
      <c r="CQ29" s="256">
        <f>SCRF*(SCRL1+SCRL2)/4+(SCRMG-SCRF/2)*(SCRL1+SCRL2)/3</f>
        <v>55.649093166666674</v>
      </c>
      <c r="CR29" s="256" t="str">
        <f>IF(CO29&lt;'Look Ups'!$AC$4,"Yes","No")</f>
        <v>Yes</v>
      </c>
      <c r="CS29" s="267">
        <f>IF(CR29="Yes",MIN(150,('Look Ups'!$AC$4-PSCR)/('Look Ups'!$AC$4-'Look Ups'!$AC$3)*100),0)</f>
        <v>33.292574345580874</v>
      </c>
      <c r="CT29" s="83"/>
      <c r="CU29" s="73"/>
      <c r="CV29" s="73"/>
      <c r="CW29" s="73"/>
      <c r="CX29" s="256" t="str">
        <f>IF(USCRF&gt;0,USCRMG/USCRF*100,"")</f>
        <v/>
      </c>
      <c r="CY29" s="293">
        <f>IF(PUSCR&lt;'Look Ups'!$AC$4,MIN(150,('Look Ups'!$AC$4-PUSCR)/('Look Ups'!$AC$4-'Look Ups'!$AC$3)*100),0)</f>
        <v>0</v>
      </c>
      <c r="CZ29" s="275">
        <f>IF(PUSCR&lt;'Look Ups'!$AC$4,USCRF*(USCRL1+USCRL2)/4+(USCRMG-USCRF/2)*(USCRL1+USCRL2)/3,0)</f>
        <v>0</v>
      </c>
      <c r="DA29" s="294">
        <f>IF(ZVAL=1,1,IF(LPM&gt;0,0.64*((AM+MAM)/(E+(MC/2))^2)^0.3,0))</f>
        <v>1</v>
      </c>
      <c r="DB29" s="256">
        <f>0.65*((AM+MAM)*EFM)+0.35*((AM+MAM)*ZVAL)</f>
        <v>42.106369355251999</v>
      </c>
      <c r="DC29" s="256">
        <f>IF(ZVAL=1,1,IF(LPG&gt;0,0.72*(AG/(LPG^2))^0.3,0))</f>
        <v>1</v>
      </c>
      <c r="DD29" s="256">
        <f>AG*EFG</f>
        <v>30.055881526</v>
      </c>
      <c r="DE29" s="256">
        <f>IF(AZ29&gt;0,'Look Ups'!$S$3,0)</f>
        <v>1</v>
      </c>
      <c r="DF29" s="256">
        <f>IF(LPS&gt;0,0.72*(AS/(LPS^2))^0.3,0)</f>
        <v>0</v>
      </c>
      <c r="DG29" s="256">
        <f>EFS*AS</f>
        <v>0</v>
      </c>
      <c r="DH29" s="256">
        <f>IF(LPD&gt;0,0.72*(AD/(LPD^2))^0.3,0)</f>
        <v>0</v>
      </c>
      <c r="DI29" s="280">
        <f>IF((AD-AG)&gt;0,0.3*(AD-AG)*EFD,0)</f>
        <v>0</v>
      </c>
      <c r="DJ29" s="295" t="str">
        <f>IF((SCRF=0),"-",IF(AND(MSASC&gt;AG,SCRMG&lt;(0.75*SCRF)),"valid","ERROR"))</f>
        <v>valid</v>
      </c>
      <c r="DK29" s="266" t="str">
        <f>IF((SF=0),"-",IF((SMG&lt;(0.75*SF)),"ERROR",IF(AND(MSASP&gt;MSASC,MSASP&gt;AG,MSASP&gt;=0.36*RSAM),"valid","Small")))</f>
        <v>valid</v>
      </c>
      <c r="DL29" s="267" t="str">
        <f>IF(C29="","",CONCATENATE("MG",IF(FLSCR="valid","Scr",""),IF(FLSPI="valid","SP","")))</f>
        <v>MGScrSP</v>
      </c>
      <c r="DM29" s="294">
        <f>RSAM+RSAG</f>
        <v>72.162250881251992</v>
      </c>
      <c r="DN29" s="256">
        <f>IF(MSASP&gt;0,'Look Ups'!$AI$4*(ZVAL*MSASP-RSAG),0)</f>
        <v>22.9593712872</v>
      </c>
      <c r="DO29" s="256">
        <f>IF(AND(MSASC&gt;0,(MSASC&gt;=0.36*RSAM)),('Look Ups'!$AI$3*(ZVAL*MSASC-RSAG)),(0))</f>
        <v>8.9576240742333351</v>
      </c>
      <c r="DP29" s="256">
        <f>IF(MSASP&gt;0,'Look Ups'!$AI$5*(ZVAL*MSASP-RSAG),0)</f>
        <v>21.428746534720002</v>
      </c>
      <c r="DQ29" s="256">
        <f>IF(MSASC&gt;0,'Look Ups'!$AI$6*(MSASC-RSAG),0)</f>
        <v>1.7915248148466674</v>
      </c>
      <c r="DR29" s="280">
        <f>'Look Ups'!$AI$7*MAX(IF(MSAUSC&gt;0,EUSC/100*(MSAUSC-RSAG),0),IF(CR29="Yes",ELSC/100*(MSASC-RSAG),0))</f>
        <v>2.1301597532227028</v>
      </c>
      <c r="DS29" s="280">
        <f>0.36*RSAM</f>
        <v>15.15829296789072</v>
      </c>
      <c r="DT29" s="296">
        <f>_xlfn.IFS(SPC="MG",RAMG+DS29,SPC="MGScr",RAMG+RASCO,SPC="MGSp",RAMG+RASPO,SPC="MGScrSp",RAMG+RASPSC+RASCR)+RAUSC+RSAST+RSAD+RSAMZ+RSA2M</f>
        <v>97.512681984041365</v>
      </c>
      <c r="DU29" s="63"/>
    </row>
    <row r="30" spans="1:125" ht="15.6" customHeight="1" x14ac:dyDescent="0.3">
      <c r="A30" s="4"/>
      <c r="B30" s="64"/>
      <c r="C30" s="64" t="s">
        <v>209</v>
      </c>
      <c r="D30" s="85" t="s">
        <v>210</v>
      </c>
      <c r="E30" s="86" t="s">
        <v>211</v>
      </c>
      <c r="F30" s="252">
        <f ca="1">IF(RW=0,0,ROUND(DLF*0.93*RL^LF*RSA^0.4/RW^0.325,3))</f>
        <v>0.93500000000000005</v>
      </c>
      <c r="G30" s="252" t="str">
        <f ca="1">IF(OR(FLSCR="ERROR",FLSPI="ERROR"),"No",IF(TODAY()-'Look Ups'!$D$4*365&gt;I30,"WP Applied","Yes"))</f>
        <v>WP Applied</v>
      </c>
      <c r="H30" s="253" t="str">
        <f>IF(SPC="","",CONCATENATE("Main-Genoa",IF(FLSCR="valid",IF(OR(CR30="Yes",MSAUSC&gt;0),"-Screacher (Upwind)","-Screacher"),""),IF(FLSPI="valid","-Spinnaker",""),IF(RSAMZ&gt;0,"-Mizzen",""),IF(RSA2M&gt;0,"-Second Main",""),IF(AS&gt;0,"-Staysail",""),IF(AD&gt;0,"-Drifter","")))</f>
        <v>Main-Genoa-Screacher (Upwind)-Spinnaker</v>
      </c>
      <c r="I30" s="1">
        <v>42017</v>
      </c>
      <c r="J30" s="1">
        <v>42279</v>
      </c>
      <c r="K30" s="87" t="s">
        <v>212</v>
      </c>
      <c r="L30" s="87" t="s">
        <v>159</v>
      </c>
      <c r="M30" s="207"/>
      <c r="N30" s="88" t="s">
        <v>143</v>
      </c>
      <c r="O30" s="88" t="s">
        <v>154</v>
      </c>
      <c r="P30" s="100"/>
      <c r="Q30" s="90">
        <v>7.05</v>
      </c>
      <c r="R30" s="87"/>
      <c r="S30" s="256">
        <f>IF((LOAA&gt;LOA),0.025*LOAA,0.025*LOA)</f>
        <v>0.17625000000000002</v>
      </c>
      <c r="T30" s="91"/>
      <c r="U30" s="91"/>
      <c r="V30" s="258">
        <f>IF((_xlfn.SINGLE(LOAA)&gt;_xlfn.SINGLE(LOA)),_xlfn.SINGLE(LOAA),_xlfn.SINGLE(LOA)-_xlfn.SINGLE(FOC)-_xlfn.SINGLE(AOC))</f>
        <v>7.05</v>
      </c>
      <c r="W30" s="259">
        <f>IF(RL&gt;0,IF(RL&gt;'Look Ups'!Y$7,'Look Ups'!Y$8,('Look Ups'!Y$3*RL^3+'Look Ups'!Y$4*RL^2+'Look Ups'!Y$5*RL+'Look Ups'!Y$6)),0)</f>
        <v>0.28995478662500002</v>
      </c>
      <c r="X30" s="92">
        <v>871</v>
      </c>
      <c r="Y30" s="262">
        <f ca="1">IF(WDATE&lt;(TODAY()-'Look Ups'!$D$4*365),-WM*'Look Ups'!$D$5/100,0)</f>
        <v>-130.65</v>
      </c>
      <c r="Z30" s="93"/>
      <c r="AA30" s="93"/>
      <c r="AB30" s="75"/>
      <c r="AC30" s="268">
        <f>WCD+NC*'Look Ups'!$AF$3</f>
        <v>0</v>
      </c>
      <c r="AD30" s="268">
        <f ca="1">IF(RL&lt;'Look Ups'!AM$3,'Look Ups'!AM$4,IF(RL&gt;'Look Ups'!AM$5,'Look Ups'!AM$6,(RL-'Look Ups'!AM$3)/('Look Ups'!AM$5-'Look Ups'!AM$3)*('Look Ups'!AM$6-'Look Ups'!AM$4)+'Look Ups'!AM$4))/100*WS</f>
        <v>212.68236363636365</v>
      </c>
      <c r="AE30" s="266">
        <f ca="1">WM+WP+WE</f>
        <v>740.35</v>
      </c>
      <c r="AF30" s="267">
        <f ca="1">_xlfn.SINGLE(WS)+IF(_xlfn.SINGLE(TCW)&gt;=_xlfn.SINGLE(CWA),_xlfn.SINGLE(CWA),_xlfn.SINGLE(TCW))</f>
        <v>740.35</v>
      </c>
      <c r="AG30" s="94" t="s">
        <v>145</v>
      </c>
      <c r="AH30" s="95" t="s">
        <v>146</v>
      </c>
      <c r="AI30" s="96" t="s">
        <v>147</v>
      </c>
      <c r="AJ30" s="218"/>
      <c r="AK30" s="273">
        <f>IF(C30="",0,VLOOKUP(AG30,'Look Ups'!$F$3:$G$6,2,0)*VLOOKUP(AH30,'Look Ups'!$I$3:$J$5,2,0)*VLOOKUP(AI30,'Look Ups'!$L$3:$M$7,2,0)*IF(AJ30="",1,VLOOKUP(AJ30,'Look Ups'!$O$3:$P$4,2,0)))</f>
        <v>1</v>
      </c>
      <c r="AL30" s="83">
        <v>10.59</v>
      </c>
      <c r="AM30" s="91">
        <v>10.31</v>
      </c>
      <c r="AN30" s="91">
        <v>2.92</v>
      </c>
      <c r="AO30" s="91">
        <v>1.17</v>
      </c>
      <c r="AP30" s="91">
        <v>0.24</v>
      </c>
      <c r="AQ30" s="91">
        <v>10.54</v>
      </c>
      <c r="AR30" s="91">
        <v>0.1</v>
      </c>
      <c r="AS30" s="91">
        <v>2.97</v>
      </c>
      <c r="AT30" s="91">
        <v>0.01</v>
      </c>
      <c r="AU30" s="91">
        <v>0.49</v>
      </c>
      <c r="AV30" s="91" t="s">
        <v>148</v>
      </c>
      <c r="AW30" s="97"/>
      <c r="AX30" s="256">
        <f>P+ER</f>
        <v>10.549999999999999</v>
      </c>
      <c r="AY30" s="256">
        <f>P*0.375*MC</f>
        <v>1.9367249999999998</v>
      </c>
      <c r="AZ30" s="275">
        <f>IF(C30="",0,(0.5*(_ML1*LPM)+0.5*(_ML1*HB)+0.66*(P*PR)+0.66*(_ML2*RDM)+0.66*(E*ER))*VLOOKUP(BATT,'Look Ups'!$U$3:$V$4,2,0))</f>
        <v>24.004895999999999</v>
      </c>
      <c r="BA30" s="98"/>
      <c r="BB30" s="99"/>
      <c r="BC30" s="83">
        <v>9.2799999999999994</v>
      </c>
      <c r="BD30" s="91">
        <v>2.61</v>
      </c>
      <c r="BE30" s="91">
        <v>2.99</v>
      </c>
      <c r="BF30" s="91">
        <v>7.0000000000000007E-2</v>
      </c>
      <c r="BG30" s="91">
        <v>8.32</v>
      </c>
      <c r="BH30" s="91">
        <v>0</v>
      </c>
      <c r="BI30" s="91">
        <v>0</v>
      </c>
      <c r="BJ30" s="91">
        <v>0.16</v>
      </c>
      <c r="BK30" s="91">
        <v>-0.02</v>
      </c>
      <c r="BL30" s="97" t="s">
        <v>213</v>
      </c>
      <c r="BM30" s="275">
        <f>(0.5*LL*LPG)+(0.5*_LG1*HG)+(0.66*LL*LLRG)+(0.66*FG*FRG)+(IF((HG&gt;0),(0.66*_LG2*LRG),(0.66*_LG1*LRG)))</f>
        <v>13.004633999999998</v>
      </c>
      <c r="BN30" s="282"/>
      <c r="BO30" s="283"/>
      <c r="BP30" s="284"/>
      <c r="BQ30" s="284"/>
      <c r="BR30" s="283"/>
      <c r="BS30" s="284"/>
      <c r="BT30" s="284"/>
      <c r="BU30" s="280">
        <f>(0.5*LLS*LPS)+(0.66*LLS*LLRS)+(0.66*LS*LRS)+(0.66*FS*FRS)</f>
        <v>0</v>
      </c>
      <c r="BV30" s="285"/>
      <c r="BW30" s="283"/>
      <c r="BX30" s="283"/>
      <c r="BY30" s="283"/>
      <c r="BZ30" s="283"/>
      <c r="CA30" s="283"/>
      <c r="CB30" s="283"/>
      <c r="CC30" s="275">
        <f>(0.5*LLD*LPD)+(0.66*LLD*LLRD)+(0.66*LCHD*LRD)+(0.66*FD*FRD)</f>
        <v>0</v>
      </c>
      <c r="CD30" s="98">
        <v>6.49</v>
      </c>
      <c r="CE30" s="91">
        <v>11.16</v>
      </c>
      <c r="CF30" s="91">
        <v>11.88</v>
      </c>
      <c r="CG30" s="91">
        <v>5.55</v>
      </c>
      <c r="CH30" s="266">
        <f>IF(SF&gt;0,SMG/SF*100,"")</f>
        <v>85.516178736517716</v>
      </c>
      <c r="CI30" s="283"/>
      <c r="CJ30" s="280">
        <f>SF*(_SL1+_SL2)/4+(SMG-SF/2)*(_SL1+_SL2)/3</f>
        <v>55.084799999999994</v>
      </c>
      <c r="CK30" s="83">
        <v>5.39</v>
      </c>
      <c r="CL30" s="91">
        <v>10.6</v>
      </c>
      <c r="CM30" s="91">
        <v>8.4499999999999993</v>
      </c>
      <c r="CN30" s="91">
        <v>2.7</v>
      </c>
      <c r="CO30" s="256">
        <f>IF(SCRF&gt;0,SCRMG/SCRF*100,"")</f>
        <v>50.09276437847867</v>
      </c>
      <c r="CP30" s="283"/>
      <c r="CQ30" s="256">
        <f>SCRF*(SCRL1+SCRL2)/4+(SCRMG-SCRF/2)*(SCRL1+SCRL2)/3</f>
        <v>25.701624999999996</v>
      </c>
      <c r="CR30" s="256" t="str">
        <f>IF(CO30&lt;'Look Ups'!$AC$4,"Yes","No")</f>
        <v>Yes</v>
      </c>
      <c r="CS30" s="267">
        <f>IF(CR30="Yes",MIN(150,('Look Ups'!$AC$4-PSCR)/('Look Ups'!$AC$4-'Look Ups'!$AC$3)*100),0)</f>
        <v>38.144712430426608</v>
      </c>
      <c r="CT30" s="83"/>
      <c r="CU30" s="91"/>
      <c r="CV30" s="91"/>
      <c r="CW30" s="91"/>
      <c r="CX30" s="256" t="str">
        <f>IF(USCRF&gt;0,USCRMG/USCRF*100,"")</f>
        <v/>
      </c>
      <c r="CY30" s="293">
        <f>IF(PUSCR&lt;'Look Ups'!$AC$4,MIN(150,('Look Ups'!$AC$4-PUSCR)/('Look Ups'!$AC$4-'Look Ups'!$AC$3)*100),0)</f>
        <v>0</v>
      </c>
      <c r="CZ30" s="275">
        <f>IF(PUSCR&lt;'Look Ups'!$AC$4,USCRF*(USCRL1+USCRL2)/4+(USCRMG-USCRF/2)*(USCRL1+USCRL2)/3,0)</f>
        <v>0</v>
      </c>
      <c r="DA30" s="294">
        <f>IF(ZVAL=1,1,IF(LPM&gt;0,0.64*((AM+MAM)/(E+(MC/2))^2)^0.3,0))</f>
        <v>1</v>
      </c>
      <c r="DB30" s="256">
        <f>0.65*((AM+MAM)*EFM)+0.35*((AM+MAM)*ZVAL)</f>
        <v>25.941620999999998</v>
      </c>
      <c r="DC30" s="256">
        <f>IF(ZVAL=1,1,IF(LPG&gt;0,0.72*(AG/(LPG^2))^0.3,0))</f>
        <v>1</v>
      </c>
      <c r="DD30" s="256">
        <f>AG*EFG</f>
        <v>13.004633999999998</v>
      </c>
      <c r="DE30" s="256">
        <f>IF(AZ30&gt;0,'Look Ups'!$S$3,0)</f>
        <v>1</v>
      </c>
      <c r="DF30" s="256">
        <f>IF(LPS&gt;0,0.72*(AS/(LPS^2))^0.3,0)</f>
        <v>0</v>
      </c>
      <c r="DG30" s="256">
        <f>EFS*AS</f>
        <v>0</v>
      </c>
      <c r="DH30" s="256">
        <f>IF(LPD&gt;0,0.72*(AD/(LPD^2))^0.3,0)</f>
        <v>0</v>
      </c>
      <c r="DI30" s="280">
        <f>IF((AD-AG)&gt;0,0.3*(AD-AG)*EFD,0)</f>
        <v>0</v>
      </c>
      <c r="DJ30" s="295" t="str">
        <f>IF((SCRF=0),"-",IF(AND(MSASC&gt;AG,SCRMG&lt;(0.75*SCRF)),"valid","ERROR"))</f>
        <v>valid</v>
      </c>
      <c r="DK30" s="266" t="str">
        <f>IF((SF=0),"-",IF((SMG&lt;(0.75*SF)),"ERROR",IF(AND(MSASP&gt;MSASC,MSASP&gt;AG,MSASP&gt;=0.36*RSAM),"valid","Small")))</f>
        <v>valid</v>
      </c>
      <c r="DL30" s="267" t="str">
        <f>IF(C30="","",CONCATENATE("MG",IF(FLSCR="valid","Scr",""),IF(FLSPI="valid","SP","")))</f>
        <v>MGScrSP</v>
      </c>
      <c r="DM30" s="294">
        <f>RSAM+RSAG</f>
        <v>38.946254999999994</v>
      </c>
      <c r="DN30" s="256">
        <f>IF(MSASP&gt;0,'Look Ups'!$AI$4*(ZVAL*MSASP-RSAG),0)</f>
        <v>12.6240498</v>
      </c>
      <c r="DO30" s="256">
        <f>IF(AND(MSASC&gt;0,(MSASC&gt;=0.36*RSAM)),('Look Ups'!$AI$3*(ZVAL*MSASC-RSAG)),(0))</f>
        <v>4.4439468499999997</v>
      </c>
      <c r="DP30" s="256">
        <f>IF(MSASP&gt;0,'Look Ups'!$AI$5*(ZVAL*MSASP-RSAG),0)</f>
        <v>11.782446480000001</v>
      </c>
      <c r="DQ30" s="256">
        <f>IF(MSASC&gt;0,'Look Ups'!$AI$6*(MSASC-RSAG),0)</f>
        <v>0.88878937000000002</v>
      </c>
      <c r="DR30" s="280">
        <f>'Look Ups'!$AI$7*MAX(IF(MSAUSC&gt;0,EUSC/100*(MSAUSC-RSAG),0),IF(CR30="Yes",ELSC/100*(MSASC-RSAG),0))</f>
        <v>1.2108076760667867</v>
      </c>
      <c r="DS30" s="280">
        <f>0.36*RSAM</f>
        <v>9.3389835599999991</v>
      </c>
      <c r="DT30" s="296">
        <f>_xlfn.IFS(SPC="MG",RAMG+DS30,SPC="MGScr",RAMG+RASCO,SPC="MGSp",RAMG+RASPO,SPC="MGScrSp",RAMG+RASPSC+RASCR)+RAUSC+RSAST+RSAD+RSAMZ+RSA2M</f>
        <v>52.828298526066781</v>
      </c>
      <c r="DU30" s="63"/>
    </row>
    <row r="31" spans="1:125" ht="15.6" customHeight="1" x14ac:dyDescent="0.3">
      <c r="A31" s="4"/>
      <c r="B31" s="84"/>
      <c r="C31" s="64" t="s">
        <v>216</v>
      </c>
      <c r="D31" s="85" t="s">
        <v>217</v>
      </c>
      <c r="E31" s="86" t="s">
        <v>232</v>
      </c>
      <c r="F31" s="252">
        <f ca="1">IF(RW=0,0,ROUND(DLF*0.93*RL^LF*RSA^0.4/RW^0.325,3))</f>
        <v>1.2310000000000001</v>
      </c>
      <c r="G31" s="252" t="str">
        <f ca="1">IF(OR(FLSCR="ERROR",FLSPI="ERROR"),"No",IF(TODAY()-'Look Ups'!$D$4*365&gt;I31,"WP Applied","Yes"))</f>
        <v>WP Applied</v>
      </c>
      <c r="H31" s="253" t="str">
        <f>IF(SPC="","",CONCATENATE("Main-Genoa",IF(FLSCR="valid",IF(OR(CR31="Yes",MSAUSC&gt;0),"-Screacher (Upwind)","-Screacher"),""),IF(FLSPI="valid","-Spinnaker",""),IF(RSAMZ&gt;0,"-Mizzen",""),IF(RSA2M&gt;0,"-Second Main",""),IF(AS&gt;0,"-Staysail",""),IF(AD&gt;0,"-Drifter","")))</f>
        <v>Main-Genoa-Screacher (Upwind)</v>
      </c>
      <c r="I31" s="1">
        <v>41487</v>
      </c>
      <c r="J31" s="1">
        <v>41551</v>
      </c>
      <c r="K31" s="87" t="s">
        <v>218</v>
      </c>
      <c r="L31" s="87" t="s">
        <v>159</v>
      </c>
      <c r="M31" s="207"/>
      <c r="N31" s="88" t="s">
        <v>165</v>
      </c>
      <c r="O31" s="88"/>
      <c r="P31" s="89"/>
      <c r="Q31" s="90">
        <v>8.5</v>
      </c>
      <c r="R31" s="87"/>
      <c r="S31" s="256">
        <f>IF((LOAA&gt;LOA),0.025*LOAA,0.025*LOA)</f>
        <v>0.21250000000000002</v>
      </c>
      <c r="T31" s="117"/>
      <c r="U31" s="117"/>
      <c r="V31" s="258">
        <f>IF((_xlfn.SINGLE(LOAA)&gt;_xlfn.SINGLE(LOA)),_xlfn.SINGLE(LOAA),_xlfn.SINGLE(LOA)-_xlfn.SINGLE(FOC)-_xlfn.SINGLE(AOC))</f>
        <v>8.5</v>
      </c>
      <c r="W31" s="259">
        <f>IF(RL&gt;0,IF(RL&gt;'Look Ups'!Y$7,'Look Ups'!Y$8,('Look Ups'!Y$3*RL^3+'Look Ups'!Y$4*RL^2+'Look Ups'!Y$5*RL+'Look Ups'!Y$6)),0)</f>
        <v>0.29536612500000003</v>
      </c>
      <c r="X31" s="92">
        <v>650</v>
      </c>
      <c r="Y31" s="262">
        <f ca="1">IF(WDATE&lt;(TODAY()-'Look Ups'!$D$4*365),-WM*'Look Ups'!$D$5/100,0)</f>
        <v>-97.5</v>
      </c>
      <c r="Z31" s="93"/>
      <c r="AA31" s="93"/>
      <c r="AB31" s="93"/>
      <c r="AC31" s="268">
        <f>WCD+NC*'Look Ups'!$AF$3</f>
        <v>0</v>
      </c>
      <c r="AD31" s="268">
        <f ca="1">IF(RL&lt;'Look Ups'!AM$3,'Look Ups'!AM$4,IF(RL&gt;'Look Ups'!AM$5,'Look Ups'!AM$6,(RL-'Look Ups'!AM$3)/('Look Ups'!AM$5-'Look Ups'!AM$3)*('Look Ups'!AM$6-'Look Ups'!AM$4)+'Look Ups'!AM$4))/100*WS</f>
        <v>129.58636363636361</v>
      </c>
      <c r="AE31" s="266">
        <f ca="1">WM+WP+WE</f>
        <v>552.5</v>
      </c>
      <c r="AF31" s="267">
        <f ca="1">_xlfn.SINGLE(WS)+IF(_xlfn.SINGLE(TCW)&gt;=_xlfn.SINGLE(CWA),_xlfn.SINGLE(CWA),_xlfn.SINGLE(TCW))</f>
        <v>552.5</v>
      </c>
      <c r="AG31" s="94" t="s">
        <v>145</v>
      </c>
      <c r="AH31" s="95" t="s">
        <v>146</v>
      </c>
      <c r="AI31" s="96" t="s">
        <v>147</v>
      </c>
      <c r="AJ31" s="218"/>
      <c r="AK31" s="273">
        <f>IF(C31="",0,VLOOKUP(AG31,'Look Ups'!$F$3:$G$6,2,0)*VLOOKUP(AH31,'Look Ups'!$I$3:$J$5,2,0)*VLOOKUP(AI31,'Look Ups'!$L$3:$M$7,2,0)*IF(AJ31="",1,VLOOKUP(AJ31,'Look Ups'!$O$3:$P$4,2,0)))</f>
        <v>1</v>
      </c>
      <c r="AL31" s="83">
        <v>12.82</v>
      </c>
      <c r="AM31" s="91">
        <v>12.14</v>
      </c>
      <c r="AN31" s="91">
        <v>3.46</v>
      </c>
      <c r="AO31" s="91">
        <v>1.9500000000000002</v>
      </c>
      <c r="AP31" s="91">
        <v>0.28999999999999998</v>
      </c>
      <c r="AQ31" s="91">
        <v>12.51</v>
      </c>
      <c r="AR31" s="91">
        <v>0.2</v>
      </c>
      <c r="AS31" s="91">
        <v>3.68</v>
      </c>
      <c r="AT31" s="91">
        <v>0.04</v>
      </c>
      <c r="AU31" s="91">
        <v>0.53</v>
      </c>
      <c r="AV31" s="91" t="s">
        <v>148</v>
      </c>
      <c r="AW31" s="97"/>
      <c r="AX31" s="256">
        <f>P+ER</f>
        <v>12.549999999999999</v>
      </c>
      <c r="AY31" s="256">
        <f>P*0.375*MC</f>
        <v>2.4863625000000003</v>
      </c>
      <c r="AZ31" s="275">
        <f>IF(C31="",0,(0.5*(_ML1*LPM)+0.5*(_ML1*HB)+0.66*(P*PR)+0.66*(_ML2*RDM)+0.66*(E*ER))*VLOOKUP(BATT,'Look Ups'!$U$3:$V$4,2,0))</f>
        <v>38.750168000000002</v>
      </c>
      <c r="BA31" s="98"/>
      <c r="BB31" s="99"/>
      <c r="BC31" s="83">
        <v>9.44</v>
      </c>
      <c r="BD31" s="91">
        <v>2.31</v>
      </c>
      <c r="BE31" s="91">
        <v>2.5099999999999998</v>
      </c>
      <c r="BF31" s="91">
        <v>0.06</v>
      </c>
      <c r="BG31" s="91">
        <v>8.7200000000000006</v>
      </c>
      <c r="BH31" s="91">
        <v>8.67</v>
      </c>
      <c r="BI31" s="91">
        <v>0.38</v>
      </c>
      <c r="BJ31" s="91">
        <v>0.08</v>
      </c>
      <c r="BK31" s="91">
        <v>0</v>
      </c>
      <c r="BL31" s="97"/>
      <c r="BM31" s="275">
        <f>(0.5*LL*LPG)+(0.5*_LG1*HG)+(0.66*LL*LLRG)+(0.66*FG*FRG)+(IF((HG&gt;0),(0.66*_LG2*LRG),(0.66*_LG1*LRG)))</f>
        <v>13.117172000000002</v>
      </c>
      <c r="BN31" s="319"/>
      <c r="BO31" s="320"/>
      <c r="BP31" s="321"/>
      <c r="BQ31" s="321"/>
      <c r="BR31" s="320"/>
      <c r="BS31" s="321"/>
      <c r="BT31" s="321"/>
      <c r="BU31" s="280">
        <f>(0.5*LLS*LPS)+(0.66*LLS*LLRS)+(0.66*LS*LRS)+(0.66*FS*FRS)</f>
        <v>0</v>
      </c>
      <c r="BV31" s="322"/>
      <c r="BW31" s="320"/>
      <c r="BX31" s="320"/>
      <c r="BY31" s="320"/>
      <c r="BZ31" s="320"/>
      <c r="CA31" s="320"/>
      <c r="CB31" s="320"/>
      <c r="CC31" s="275">
        <f>(0.5*LLD*LPD)+(0.66*LLD*LLRD)+(0.66*LCHD*LRD)+(0.66*FD*FRD)</f>
        <v>0</v>
      </c>
      <c r="CD31" s="98"/>
      <c r="CE31" s="91"/>
      <c r="CF31" s="91"/>
      <c r="CG31" s="91"/>
      <c r="CH31" s="266" t="str">
        <f>IF(SF&gt;0,SMG/SF*100,"")</f>
        <v/>
      </c>
      <c r="CI31" s="320"/>
      <c r="CJ31" s="280">
        <f>SF*(_SL1+_SL2)/4+(SMG-SF/2)*(_SL1+_SL2)/3</f>
        <v>0</v>
      </c>
      <c r="CK31" s="83">
        <v>8.06</v>
      </c>
      <c r="CL31" s="91">
        <v>12.34</v>
      </c>
      <c r="CM31" s="91">
        <v>11.83</v>
      </c>
      <c r="CN31" s="91">
        <v>4.04</v>
      </c>
      <c r="CO31" s="256">
        <f>IF(SCRF&gt;0,SCRMG/SCRF*100,"")</f>
        <v>50.124069478908183</v>
      </c>
      <c r="CP31" s="320"/>
      <c r="CQ31" s="256">
        <f>SCRF*(SCRL1+SCRL2)/4+(SCRMG-SCRF/2)*(SCRL1+SCRL2)/3</f>
        <v>48.783116666666672</v>
      </c>
      <c r="CR31" s="256" t="str">
        <f>IF(CO31&lt;'Look Ups'!$AC$4,"Yes","No")</f>
        <v>Yes</v>
      </c>
      <c r="CS31" s="267">
        <f>IF(CR31="Yes",MIN(150,('Look Ups'!$AC$4-PSCR)/('Look Ups'!$AC$4-'Look Ups'!$AC$3)*100),0)</f>
        <v>37.518610421836343</v>
      </c>
      <c r="CT31" s="83"/>
      <c r="CU31" s="91"/>
      <c r="CV31" s="91"/>
      <c r="CW31" s="91"/>
      <c r="CX31" s="256" t="str">
        <f>IF(USCRF&gt;0,USCRMG/USCRF*100,"")</f>
        <v/>
      </c>
      <c r="CY31" s="293">
        <f>IF(PUSCR&lt;'Look Ups'!$AC$4,MIN(150,('Look Ups'!$AC$4-PUSCR)/('Look Ups'!$AC$4-'Look Ups'!$AC$3)*100),0)</f>
        <v>0</v>
      </c>
      <c r="CZ31" s="275">
        <f>IF(PUSCR&lt;'Look Ups'!$AC$4,USCRF*(USCRL1+USCRL2)/4+(USCRMG-USCRF/2)*(USCRL1+USCRL2)/3,0)</f>
        <v>0</v>
      </c>
      <c r="DA31" s="294">
        <f>IF(ZVAL=1,1,IF(LPM&gt;0,0.64*((AM+MAM)/(E+(MC/2))^2)^0.3,0))</f>
        <v>1</v>
      </c>
      <c r="DB31" s="256">
        <f>0.65*((AM+MAM)*EFM)+0.35*((AM+MAM)*ZVAL)</f>
        <v>41.236530500000001</v>
      </c>
      <c r="DC31" s="256">
        <f>IF(ZVAL=1,1,IF(LPG&gt;0,0.72*(AG/(LPG^2))^0.3,0))</f>
        <v>1</v>
      </c>
      <c r="DD31" s="256">
        <f>AG*EFG</f>
        <v>13.117172000000002</v>
      </c>
      <c r="DE31" s="256">
        <f>IF(AZ31&gt;0,'Look Ups'!$S$3,0)</f>
        <v>1</v>
      </c>
      <c r="DF31" s="256">
        <f>IF(LPS&gt;0,0.72*(AS/(LPS^2))^0.3,0)</f>
        <v>0</v>
      </c>
      <c r="DG31" s="256">
        <f>EFS*AS</f>
        <v>0</v>
      </c>
      <c r="DH31" s="256">
        <f>IF(LPD&gt;0,0.72*(AD/(LPD^2))^0.3,0)</f>
        <v>0</v>
      </c>
      <c r="DI31" s="280">
        <f>IF((AD-AG)&gt;0,0.3*(AD-AG)*EFD,0)</f>
        <v>0</v>
      </c>
      <c r="DJ31" s="295" t="str">
        <f>IF((SCRF=0),"-",IF(AND(MSASC&gt;AG,SCRMG&lt;(0.75*SCRF)),"valid","ERROR"))</f>
        <v>valid</v>
      </c>
      <c r="DK31" s="266" t="str">
        <f>IF((SF=0),"-",IF((SMG&lt;(0.75*SF)),"ERROR",IF(AND(MSASP&gt;MSASC,MSASP&gt;AG,MSASP&gt;=0.36*RSAM),"valid","Small")))</f>
        <v>-</v>
      </c>
      <c r="DL31" s="267" t="str">
        <f>IF(C31="","",CONCATENATE("MG",IF(FLSCR="valid","Scr",""),IF(FLSPI="valid","SP","")))</f>
        <v>MGScr</v>
      </c>
      <c r="DM31" s="294">
        <f>RSAM+RSAG</f>
        <v>54.353702500000004</v>
      </c>
      <c r="DN31" s="256">
        <f>IF(MSASP&gt;0,'Look Ups'!$AI$4*(ZVAL*MSASP-RSAG),0)</f>
        <v>0</v>
      </c>
      <c r="DO31" s="256">
        <f>IF(AND(MSASC&gt;0,(MSASC&gt;=0.36*RSAM)),('Look Ups'!$AI$3*(ZVAL*MSASC-RSAG)),(0))</f>
        <v>12.483080633333334</v>
      </c>
      <c r="DP31" s="256">
        <f>IF(MSASP&gt;0,'Look Ups'!$AI$5*(ZVAL*MSASP-RSAG),0)</f>
        <v>0</v>
      </c>
      <c r="DQ31" s="256">
        <f>IF(MSASC&gt;0,'Look Ups'!$AI$6*(MSASC-RSAG),0)</f>
        <v>2.4966161266666669</v>
      </c>
      <c r="DR31" s="280">
        <f>'Look Ups'!$AI$7*MAX(IF(MSAUSC&gt;0,EUSC/100*(MSAUSC-RSAG),0),IF(CR31="Yes",ELSC/100*(MSASC-RSAG),0))</f>
        <v>3.3453417081885957</v>
      </c>
      <c r="DS31" s="280">
        <f>0.36*RSAM</f>
        <v>14.84515098</v>
      </c>
      <c r="DT31" s="296">
        <f>_xlfn.IFS(SPC="MG",RAMG+DS31,SPC="MGScr",RAMG+RASCO,SPC="MGSp",RAMG+RASPO,SPC="MGScrSp",RAMG+RASPSC+RASCR)+RAUSC+RSAST+RSAD+RSAMZ+RSA2M</f>
        <v>70.18212484152194</v>
      </c>
      <c r="DU31" s="63"/>
    </row>
    <row r="32" spans="1:125" ht="15.6" customHeight="1" x14ac:dyDescent="0.3">
      <c r="A32" s="4"/>
      <c r="B32" s="84"/>
      <c r="C32" s="64" t="s">
        <v>219</v>
      </c>
      <c r="D32" s="390" t="s">
        <v>220</v>
      </c>
      <c r="E32" s="90" t="s">
        <v>221</v>
      </c>
      <c r="F32" s="252">
        <f ca="1">IF(RW=0,0,ROUND(DLF*0.93*RL^LF*RSA^0.4/RW^0.325,3))</f>
        <v>1.117</v>
      </c>
      <c r="G32" s="252" t="str">
        <f ca="1">IF(OR(FLSCR="ERROR",FLSPI="ERROR"),"No",IF(TODAY()-'Look Ups'!$D$4*365&gt;I32,"WP Applied","Yes"))</f>
        <v>WP Applied</v>
      </c>
      <c r="H32" s="253" t="str">
        <f>IF(SPC="","",CONCATENATE("Main-Genoa",IF(FLSCR="valid",IF(OR(CR32="Yes",MSAUSC&gt;0),"-Screacher (Upwind)","-Screacher"),""),IF(FLSPI="valid","-Spinnaker",""),IF(RSAMZ&gt;0,"-Mizzen",""),IF(RSA2M&gt;0,"-Second Main",""),IF(AS&gt;0,"-Staysail",""),IF(AD&gt;0,"-Drifter","")))</f>
        <v>Main-Genoa-Screacher</v>
      </c>
      <c r="I32" s="1">
        <v>41294</v>
      </c>
      <c r="J32" s="1">
        <v>44125</v>
      </c>
      <c r="K32" s="87" t="s">
        <v>222</v>
      </c>
      <c r="L32" s="87" t="s">
        <v>176</v>
      </c>
      <c r="M32" s="207"/>
      <c r="N32" s="97" t="s">
        <v>143</v>
      </c>
      <c r="O32" s="97" t="s">
        <v>154</v>
      </c>
      <c r="P32" s="100"/>
      <c r="Q32" s="90">
        <v>10.07</v>
      </c>
      <c r="R32" s="87"/>
      <c r="S32" s="256">
        <f>IF((LOAA&gt;LOA),0.025*LOAA,0.025*LOA)</f>
        <v>0.25175000000000003</v>
      </c>
      <c r="T32" s="91">
        <v>0</v>
      </c>
      <c r="U32" s="91">
        <v>0</v>
      </c>
      <c r="V32" s="258">
        <f>IF((_xlfn.SINGLE(LOAA)&gt;_xlfn.SINGLE(LOA)),_xlfn.SINGLE(LOAA),_xlfn.SINGLE(LOA)-_xlfn.SINGLE(FOC)-_xlfn.SINGLE(AOC))</f>
        <v>10.07</v>
      </c>
      <c r="W32" s="259">
        <f>IF(RL&gt;0,IF(RL&gt;'Look Ups'!Y$7,'Look Ups'!Y$8,('Look Ups'!Y$3*RL^3+'Look Ups'!Y$4*RL^2+'Look Ups'!Y$5*RL+'Look Ups'!Y$6)),0)</f>
        <v>0.29859600231900002</v>
      </c>
      <c r="X32" s="92">
        <v>1583</v>
      </c>
      <c r="Y32" s="262">
        <f ca="1">IF(WDATE&lt;(TODAY()-'Look Ups'!$D$4*365),-WM*'Look Ups'!$D$5/100,0)</f>
        <v>-237.45</v>
      </c>
      <c r="Z32" s="93"/>
      <c r="AA32" s="93"/>
      <c r="AB32" s="75"/>
      <c r="AC32" s="268">
        <f>WCD+NC*'Look Ups'!$AF$3</f>
        <v>0</v>
      </c>
      <c r="AD32" s="268">
        <f ca="1">IF(RL&lt;'Look Ups'!AM$3,'Look Ups'!AM$4,IF(RL&gt;'Look Ups'!AM$5,'Look Ups'!AM$6,(RL-'Look Ups'!AM$3)/('Look Ups'!AM$5-'Look Ups'!AM$3)*('Look Ups'!AM$6-'Look Ups'!AM$4)+'Look Ups'!AM$4))/100*WS</f>
        <v>238.77396363636359</v>
      </c>
      <c r="AE32" s="266">
        <f ca="1">WM+WP+WE</f>
        <v>1345.55</v>
      </c>
      <c r="AF32" s="267">
        <f ca="1">_xlfn.SINGLE(WS)+IF(_xlfn.SINGLE(TCW)&gt;=_xlfn.SINGLE(CWA),_xlfn.SINGLE(CWA),_xlfn.SINGLE(TCW))</f>
        <v>1345.55</v>
      </c>
      <c r="AG32" s="94" t="s">
        <v>145</v>
      </c>
      <c r="AH32" s="95" t="s">
        <v>146</v>
      </c>
      <c r="AI32" s="96" t="s">
        <v>147</v>
      </c>
      <c r="AJ32" s="218"/>
      <c r="AK32" s="273">
        <f>IF(C32="",0,VLOOKUP(AG32,'Look Ups'!$F$3:$G$6,2,0)*VLOOKUP(AH32,'Look Ups'!$I$3:$J$5,2,0)*VLOOKUP(AI32,'Look Ups'!$L$3:$M$7,2,0)*IF(AJ32="",1,VLOOKUP(AJ32,'Look Ups'!$O$3:$P$4,2,0)))</f>
        <v>1</v>
      </c>
      <c r="AL32" s="83">
        <v>15.1</v>
      </c>
      <c r="AM32" s="91">
        <v>14.81</v>
      </c>
      <c r="AN32" s="91">
        <v>4.1500000000000004</v>
      </c>
      <c r="AO32" s="91">
        <v>1.68</v>
      </c>
      <c r="AP32" s="91">
        <v>0.23499999999999999</v>
      </c>
      <c r="AQ32" s="91">
        <v>14.82</v>
      </c>
      <c r="AR32" s="91">
        <v>8.5000000000000006E-2</v>
      </c>
      <c r="AS32" s="91">
        <v>4.17</v>
      </c>
      <c r="AT32" s="91">
        <v>5.5E-2</v>
      </c>
      <c r="AU32" s="91">
        <v>0.63</v>
      </c>
      <c r="AV32" s="91" t="s">
        <v>148</v>
      </c>
      <c r="AW32" s="97" t="s">
        <v>223</v>
      </c>
      <c r="AX32" s="256">
        <f>P+ER</f>
        <v>14.875</v>
      </c>
      <c r="AY32" s="256">
        <f>P*0.375*MC</f>
        <v>3.5012250000000003</v>
      </c>
      <c r="AZ32" s="275">
        <f>IF(C32="",0,(0.5*(_ML1*LPM)+0.5*(_ML1*HB)+0.66*(P*PR)+0.66*(_ML2*RDM)+0.66*(E*ER))*VLOOKUP(BATT,'Look Ups'!$U$3:$V$4,2,0))</f>
        <v>47.296303999999992</v>
      </c>
      <c r="BA32" s="98"/>
      <c r="BB32" s="99"/>
      <c r="BC32" s="83">
        <v>12.68</v>
      </c>
      <c r="BD32" s="91">
        <v>3.4</v>
      </c>
      <c r="BE32" s="91">
        <v>3.76</v>
      </c>
      <c r="BF32" s="91">
        <v>0.13</v>
      </c>
      <c r="BG32" s="91">
        <v>11.49</v>
      </c>
      <c r="BH32" s="91">
        <v>0</v>
      </c>
      <c r="BI32" s="91">
        <v>0</v>
      </c>
      <c r="BJ32" s="91">
        <v>7.0000000000000007E-2</v>
      </c>
      <c r="BK32" s="91">
        <v>0</v>
      </c>
      <c r="BL32" s="97" t="s">
        <v>224</v>
      </c>
      <c r="BM32" s="275">
        <f>(0.5*LL*LPG)+(0.5*_LG1*HG)+(0.66*LL*LLRG)+(0.66*FG*FRG)+(IF((HG&gt;0),(0.66*_LG2*LRG),(0.66*_LG1*LRG)))</f>
        <v>22.409445999999996</v>
      </c>
      <c r="BN32" s="282"/>
      <c r="BO32" s="283"/>
      <c r="BP32" s="284"/>
      <c r="BQ32" s="284"/>
      <c r="BR32" s="283"/>
      <c r="BS32" s="284"/>
      <c r="BT32" s="284"/>
      <c r="BU32" s="280">
        <f>(0.5*LLS*LPS)+(0.66*LLS*LLRS)+(0.66*LS*LRS)+(0.66*FS*FRS)</f>
        <v>0</v>
      </c>
      <c r="BV32" s="285"/>
      <c r="BW32" s="283"/>
      <c r="BX32" s="283"/>
      <c r="BY32" s="283"/>
      <c r="BZ32" s="283"/>
      <c r="CA32" s="283"/>
      <c r="CB32" s="283"/>
      <c r="CC32" s="275">
        <f>(0.5*LLD*LPD)+(0.66*LLD*LLRD)+(0.66*LCHD*LRD)+(0.66*FD*FRD)</f>
        <v>0</v>
      </c>
      <c r="CD32" s="98">
        <v>7.49</v>
      </c>
      <c r="CE32" s="91">
        <v>13.8</v>
      </c>
      <c r="CF32" s="91">
        <v>16.100000000000001</v>
      </c>
      <c r="CG32" s="91">
        <v>6.15</v>
      </c>
      <c r="CH32" s="266">
        <f>IF(SF&gt;0,SMG/SF*100,"")</f>
        <v>82.10947930574099</v>
      </c>
      <c r="CI32" s="283"/>
      <c r="CJ32" s="280">
        <f>SF*(_SL1+_SL2)/4+(SMG-SF/2)*(_SL1+_SL2)/3</f>
        <v>79.957583333333346</v>
      </c>
      <c r="CK32" s="83">
        <v>10.08</v>
      </c>
      <c r="CL32" s="91">
        <v>17.11</v>
      </c>
      <c r="CM32" s="91">
        <v>15.72</v>
      </c>
      <c r="CN32" s="91">
        <v>6.05</v>
      </c>
      <c r="CO32" s="256">
        <f>IF(SCRF&gt;0,SCRMG/SCRF*100,"")</f>
        <v>60.019841269841265</v>
      </c>
      <c r="CP32" s="283"/>
      <c r="CQ32" s="256">
        <f>SCRF*(SCRL1+SCRL2)/4+(SCRMG-SCRF/2)*(SCRL1+SCRL2)/3</f>
        <v>93.784366666666671</v>
      </c>
      <c r="CR32" s="256" t="str">
        <f>IF(CO32&lt;'Look Ups'!$AC$4,"Yes","No")</f>
        <v>No</v>
      </c>
      <c r="CS32" s="267">
        <f>IF(CR32="Yes",MIN(150,('Look Ups'!$AC$4-PSCR)/('Look Ups'!$AC$4-'Look Ups'!$AC$3)*100),0)</f>
        <v>0</v>
      </c>
      <c r="CT32" s="83"/>
      <c r="CU32" s="91"/>
      <c r="CV32" s="91"/>
      <c r="CW32" s="91"/>
      <c r="CX32" s="256" t="str">
        <f>IF(USCRF&gt;0,USCRMG/USCRF*100,"")</f>
        <v/>
      </c>
      <c r="CY32" s="293">
        <f>IF(PUSCR&lt;'Look Ups'!$AC$4,MIN(150,('Look Ups'!$AC$4-PUSCR)/('Look Ups'!$AC$4-'Look Ups'!$AC$3)*100),0)</f>
        <v>0</v>
      </c>
      <c r="CZ32" s="275">
        <f>IF(PUSCR&lt;'Look Ups'!$AC$4,USCRF*(USCRL1+USCRL2)/4+(USCRMG-USCRF/2)*(USCRL1+USCRL2)/3,0)</f>
        <v>0</v>
      </c>
      <c r="DA32" s="294">
        <f>IF(ZVAL=1,1,IF(LPM&gt;0,0.64*((AM+MAM)/(E+(MC/2))^2)^0.3,0))</f>
        <v>1</v>
      </c>
      <c r="DB32" s="256">
        <f>0.65*((AM+MAM)*EFM)+0.35*((AM+MAM)*ZVAL)</f>
        <v>50.79752899999999</v>
      </c>
      <c r="DC32" s="256">
        <f>IF(ZVAL=1,1,IF(LPG&gt;0,0.72*(AG/(LPG^2))^0.3,0))</f>
        <v>1</v>
      </c>
      <c r="DD32" s="256">
        <f>AG*EFG</f>
        <v>22.409445999999996</v>
      </c>
      <c r="DE32" s="256">
        <f>IF(AZ32&gt;0,'Look Ups'!$S$3,0)</f>
        <v>1</v>
      </c>
      <c r="DF32" s="256">
        <f>IF(LPS&gt;0,0.72*(AS/(LPS^2))^0.3,0)</f>
        <v>0</v>
      </c>
      <c r="DG32" s="256">
        <f>EFS*AS</f>
        <v>0</v>
      </c>
      <c r="DH32" s="256">
        <f>IF(LPD&gt;0,0.72*(AD/(LPD^2))^0.3,0)</f>
        <v>0</v>
      </c>
      <c r="DI32" s="280">
        <f>IF((AD-AG)&gt;0,0.3*(AD-AG)*EFD,0)</f>
        <v>0</v>
      </c>
      <c r="DJ32" s="295" t="str">
        <f>IF((SCRF=0),"-",IF(AND(MSASC&gt;AG,SCRMG&lt;(0.75*SCRF)),"valid","ERROR"))</f>
        <v>valid</v>
      </c>
      <c r="DK32" s="266" t="str">
        <f>IF((SF=0),"-",IF((SMG&lt;(0.75*SF)),"ERROR",IF(AND(MSASP&gt;MSASC,MSASP&gt;AG,MSASP&gt;=0.36*RSAM),"valid","Small")))</f>
        <v>Small</v>
      </c>
      <c r="DL32" s="267" t="str">
        <f>IF(C32="","",CONCATENATE("MG",IF(FLSCR="valid","Scr",""),IF(FLSPI="valid","SP","")))</f>
        <v>MGScr</v>
      </c>
      <c r="DM32" s="294">
        <f>RSAM+RSAG</f>
        <v>73.206974999999986</v>
      </c>
      <c r="DN32" s="256">
        <f>IF(MSASP&gt;0,'Look Ups'!$AI$4*(ZVAL*MSASP-RSAG),0)</f>
        <v>17.264441200000004</v>
      </c>
      <c r="DO32" s="256">
        <f>IF(AND(MSASC&gt;0,(MSASC&gt;=0.36*RSAM)),('Look Ups'!$AI$3*(ZVAL*MSASC-RSAG)),(0))</f>
        <v>24.981222233333334</v>
      </c>
      <c r="DP32" s="256">
        <f>IF(MSASP&gt;0,'Look Ups'!$AI$5*(ZVAL*MSASP-RSAG),0)</f>
        <v>16.11347845333334</v>
      </c>
      <c r="DQ32" s="256">
        <f>IF(MSASC&gt;0,'Look Ups'!$AI$6*(MSASC-RSAG),0)</f>
        <v>4.9962444466666671</v>
      </c>
      <c r="DR32" s="280">
        <f>'Look Ups'!$AI$7*MAX(IF(MSAUSC&gt;0,EUSC/100*(MSAUSC-RSAG),0),IF(CR32="Yes",ELSC/100*(MSASC-RSAG),0))</f>
        <v>0</v>
      </c>
      <c r="DS32" s="280">
        <f>0.36*RSAM</f>
        <v>18.287110439999996</v>
      </c>
      <c r="DT32" s="296">
        <f>_xlfn.IFS(SPC="MG",RAMG+DS32,SPC="MGScr",RAMG+RASCO,SPC="MGSp",RAMG+RASPO,SPC="MGScrSp",RAMG+RASPSC+RASCR)+RAUSC+RSAST+RSAD+RSAMZ+RSA2M</f>
        <v>98.188197233333312</v>
      </c>
      <c r="DU32" s="63"/>
    </row>
    <row r="33" spans="1:125" ht="15.6" customHeight="1" x14ac:dyDescent="0.3">
      <c r="A33" s="4"/>
      <c r="B33" s="84"/>
      <c r="C33" s="64" t="s">
        <v>225</v>
      </c>
      <c r="D33" s="85" t="s">
        <v>226</v>
      </c>
      <c r="E33" s="86" t="s">
        <v>227</v>
      </c>
      <c r="F33" s="252">
        <f ca="1">IF(RW=0,0,ROUND(DLF*0.93*RL^LF*RSA^0.4/RW^0.325,3))</f>
        <v>0.72699999999999998</v>
      </c>
      <c r="G33" s="252" t="str">
        <f ca="1">IF(OR(FLSCR="ERROR",FLSPI="ERROR"),"No",IF(TODAY()-'Look Ups'!$D$4*365&gt;I33,"WP Applied","Yes"))</f>
        <v>Yes</v>
      </c>
      <c r="H33" s="253" t="str">
        <f>IF(SPC="","",CONCATENATE("Main-Genoa",IF(FLSCR="valid",IF(OR(CR33="Yes",MSAUSC&gt;0),"-Screacher (Upwind)","-Screacher"),""),IF(FLSPI="valid","-Spinnaker",""),IF(RSAMZ&gt;0,"-Mizzen",""),IF(RSA2M&gt;0,"-Second Main",""),IF(AS&gt;0,"-Staysail",""),IF(AD&gt;0,"-Drifter","")))</f>
        <v>Main-Genoa-Spinnaker</v>
      </c>
      <c r="I33" s="1">
        <v>42425</v>
      </c>
      <c r="J33" s="1">
        <v>42677</v>
      </c>
      <c r="K33" s="87" t="s">
        <v>176</v>
      </c>
      <c r="L33" s="87" t="s">
        <v>142</v>
      </c>
      <c r="M33" s="207"/>
      <c r="N33" s="88" t="s">
        <v>165</v>
      </c>
      <c r="O33" s="88"/>
      <c r="P33" s="89">
        <v>6.7</v>
      </c>
      <c r="Q33" s="90">
        <v>10.6</v>
      </c>
      <c r="R33" s="87"/>
      <c r="S33" s="256">
        <f>IF((LOAA&gt;LOA),0.025*LOAA,0.025*LOA)</f>
        <v>0.26500000000000001</v>
      </c>
      <c r="T33" s="91">
        <v>0.31</v>
      </c>
      <c r="U33" s="91">
        <v>0</v>
      </c>
      <c r="V33" s="258">
        <f>IF((_xlfn.SINGLE(LOAA)&gt;_xlfn.SINGLE(LOA)),_xlfn.SINGLE(LOAA),_xlfn.SINGLE(LOA)-_xlfn.SINGLE(FOC)-_xlfn.SINGLE(AOC))</f>
        <v>10.29</v>
      </c>
      <c r="W33" s="259">
        <f>IF(RL&gt;0,IF(RL&gt;'Look Ups'!Y$7,'Look Ups'!Y$8,('Look Ups'!Y$3*RL^3+'Look Ups'!Y$4*RL^2+'Look Ups'!Y$5*RL+'Look Ups'!Y$6)),0)</f>
        <v>0.29887232383700002</v>
      </c>
      <c r="X33" s="92">
        <v>4863</v>
      </c>
      <c r="Y33" s="262">
        <f ca="1">IF(WDATE&lt;(TODAY()-'Look Ups'!$D$4*365),-WM*'Look Ups'!$D$5/100,0)</f>
        <v>0</v>
      </c>
      <c r="Z33" s="93"/>
      <c r="AA33" s="93"/>
      <c r="AB33" s="75"/>
      <c r="AC33" s="268">
        <f>WCD+NC*'Look Ups'!$AF$3</f>
        <v>0</v>
      </c>
      <c r="AD33" s="268">
        <f ca="1">IF(RL&lt;'Look Ups'!AM$3,'Look Ups'!AM$4,IF(RL&gt;'Look Ups'!AM$5,'Look Ups'!AM$6,(RL-'Look Ups'!AM$3)/('Look Ups'!AM$5-'Look Ups'!AM$3)*('Look Ups'!AM$6-'Look Ups'!AM$4)+'Look Ups'!AM$4))/100*WS</f>
        <v>824.05745454545479</v>
      </c>
      <c r="AE33" s="266">
        <f ca="1">WM+WP+WE</f>
        <v>4863</v>
      </c>
      <c r="AF33" s="267">
        <f ca="1">_xlfn.SINGLE(WS)+IF(_xlfn.SINGLE(TCW)&gt;=_xlfn.SINGLE(CWA),_xlfn.SINGLE(CWA),_xlfn.SINGLE(TCW))</f>
        <v>4863</v>
      </c>
      <c r="AG33" s="94" t="s">
        <v>145</v>
      </c>
      <c r="AH33" s="95" t="s">
        <v>146</v>
      </c>
      <c r="AI33" s="96" t="s">
        <v>147</v>
      </c>
      <c r="AJ33" s="218"/>
      <c r="AK33" s="273">
        <f>IF(C33="",0,VLOOKUP(AG33,'Look Ups'!$F$3:$G$6,2,0)*VLOOKUP(AH33,'Look Ups'!$I$3:$J$5,2,0)*VLOOKUP(AI33,'Look Ups'!$L$3:$M$7,2,0)*IF(AJ33="",1,VLOOKUP(AJ33,'Look Ups'!$O$3:$P$4,2,0)))</f>
        <v>1</v>
      </c>
      <c r="AL33" s="83">
        <v>12.89</v>
      </c>
      <c r="AM33" s="91">
        <v>12.41</v>
      </c>
      <c r="AN33" s="91">
        <v>4.4800000000000004</v>
      </c>
      <c r="AO33" s="91">
        <v>1.25</v>
      </c>
      <c r="AP33" s="91">
        <v>0.79</v>
      </c>
      <c r="AQ33" s="91">
        <v>12.5</v>
      </c>
      <c r="AR33" s="91">
        <v>0.185</v>
      </c>
      <c r="AS33" s="91">
        <v>4.68</v>
      </c>
      <c r="AT33" s="91">
        <v>0.02</v>
      </c>
      <c r="AU33" s="91">
        <v>0</v>
      </c>
      <c r="AV33" s="91" t="s">
        <v>148</v>
      </c>
      <c r="AW33" s="97">
        <v>0</v>
      </c>
      <c r="AX33" s="256">
        <f>P+ER</f>
        <v>12.52</v>
      </c>
      <c r="AY33" s="256">
        <f>P*0.375*MC</f>
        <v>0</v>
      </c>
      <c r="AZ33" s="275">
        <f>IF(C33="",0,(0.5*(_ML1*LPM)+0.5*(_ML1*HB)+0.66*(P*PR)+0.66*(_ML2*RDM)+0.66*(E*ER))*VLOOKUP(BATT,'Look Ups'!$U$3:$V$4,2,0))</f>
        <v>44.98845</v>
      </c>
      <c r="BA33" s="98"/>
      <c r="BB33" s="99"/>
      <c r="BC33" s="83">
        <v>12.3</v>
      </c>
      <c r="BD33" s="91">
        <v>4.74</v>
      </c>
      <c r="BE33" s="91">
        <v>5.35</v>
      </c>
      <c r="BF33" s="91">
        <v>0.17</v>
      </c>
      <c r="BG33" s="91">
        <v>10.8</v>
      </c>
      <c r="BH33" s="91"/>
      <c r="BI33" s="91"/>
      <c r="BJ33" s="91">
        <v>-0.23</v>
      </c>
      <c r="BK33" s="91">
        <v>-0.1</v>
      </c>
      <c r="BL33" s="97"/>
      <c r="BM33" s="275">
        <f>(0.5*LL*LPG)+(0.5*_LG1*HG)+(0.66*LL*LLRG)+(0.66*FG*FRG)+(IF((HG&gt;0),(0.66*_LG2*LRG),(0.66*_LG1*LRG)))</f>
        <v>27.30003</v>
      </c>
      <c r="BN33" s="282"/>
      <c r="BO33" s="283"/>
      <c r="BP33" s="284"/>
      <c r="BQ33" s="284"/>
      <c r="BR33" s="283"/>
      <c r="BS33" s="284"/>
      <c r="BT33" s="284"/>
      <c r="BU33" s="280">
        <f>(0.5*LLS*LPS)+(0.66*LLS*LLRS)+(0.66*LS*LRS)+(0.66*FS*FRS)</f>
        <v>0</v>
      </c>
      <c r="BV33" s="285"/>
      <c r="BW33" s="283"/>
      <c r="BX33" s="283"/>
      <c r="BY33" s="283"/>
      <c r="BZ33" s="283"/>
      <c r="CA33" s="283"/>
      <c r="CB33" s="283"/>
      <c r="CC33" s="275">
        <f>(0.5*LLD*LPD)+(0.66*LLD*LLRD)+(0.66*LCHD*LRD)+(0.66*FD*FRD)</f>
        <v>0</v>
      </c>
      <c r="CD33" s="98">
        <v>9.0500000000000007</v>
      </c>
      <c r="CE33" s="91">
        <v>12.52</v>
      </c>
      <c r="CF33" s="91">
        <v>12.52</v>
      </c>
      <c r="CG33" s="91">
        <v>9.5</v>
      </c>
      <c r="CH33" s="266">
        <f>IF(SF&gt;0,SMG/SF*100,"")</f>
        <v>104.97237569060773</v>
      </c>
      <c r="CI33" s="283"/>
      <c r="CJ33" s="280">
        <f>SF*(_SL1+_SL2)/4+(SMG-SF/2)*(_SL1+_SL2)/3</f>
        <v>98.177666666666667</v>
      </c>
      <c r="CK33" s="83"/>
      <c r="CL33" s="91"/>
      <c r="CM33" s="91"/>
      <c r="CN33" s="91"/>
      <c r="CO33" s="256" t="str">
        <f>IF(SCRF&gt;0,SCRMG/SCRF*100,"")</f>
        <v/>
      </c>
      <c r="CP33" s="283"/>
      <c r="CQ33" s="256">
        <f>SCRF*(SCRL1+SCRL2)/4+(SCRMG-SCRF/2)*(SCRL1+SCRL2)/3</f>
        <v>0</v>
      </c>
      <c r="CR33" s="256" t="str">
        <f>IF(CO33&lt;'Look Ups'!$AC$4,"Yes","No")</f>
        <v>No</v>
      </c>
      <c r="CS33" s="267">
        <f>IF(CR33="Yes",MIN(150,('Look Ups'!$AC$4-PSCR)/('Look Ups'!$AC$4-'Look Ups'!$AC$3)*100),0)</f>
        <v>0</v>
      </c>
      <c r="CT33" s="83"/>
      <c r="CU33" s="91"/>
      <c r="CV33" s="91"/>
      <c r="CW33" s="91"/>
      <c r="CX33" s="256" t="str">
        <f>IF(USCRF&gt;0,USCRMG/USCRF*100,"")</f>
        <v/>
      </c>
      <c r="CY33" s="293">
        <f>IF(PUSCR&lt;'Look Ups'!$AC$4,MIN(150,('Look Ups'!$AC$4-PUSCR)/('Look Ups'!$AC$4-'Look Ups'!$AC$3)*100),0)</f>
        <v>0</v>
      </c>
      <c r="CZ33" s="275">
        <f>IF(PUSCR&lt;'Look Ups'!$AC$4,USCRF*(USCRL1+USCRL2)/4+(USCRMG-USCRF/2)*(USCRL1+USCRL2)/3,0)</f>
        <v>0</v>
      </c>
      <c r="DA33" s="294">
        <f>IF(ZVAL=1,1,IF(LPM&gt;0,0.64*((AM+MAM)/(E+(MC/2))^2)^0.3,0))</f>
        <v>1</v>
      </c>
      <c r="DB33" s="256">
        <f>0.65*((AM+MAM)*EFM)+0.35*((AM+MAM)*ZVAL)</f>
        <v>44.98845</v>
      </c>
      <c r="DC33" s="256">
        <f>IF(ZVAL=1,1,IF(LPG&gt;0,0.72*(AG/(LPG^2))^0.3,0))</f>
        <v>1</v>
      </c>
      <c r="DD33" s="256">
        <f>AG*EFG</f>
        <v>27.30003</v>
      </c>
      <c r="DE33" s="256">
        <f>IF(AZ33&gt;0,'Look Ups'!$S$3,0)</f>
        <v>1</v>
      </c>
      <c r="DF33" s="256">
        <f>IF(LPS&gt;0,0.72*(AS/(LPS^2))^0.3,0)</f>
        <v>0</v>
      </c>
      <c r="DG33" s="256">
        <f>EFS*AS</f>
        <v>0</v>
      </c>
      <c r="DH33" s="256">
        <f>IF(LPD&gt;0,0.72*(AD/(LPD^2))^0.3,0)</f>
        <v>0</v>
      </c>
      <c r="DI33" s="280">
        <f>IF((AD-AG)&gt;0,0.3*(AD-AG)*EFD,0)</f>
        <v>0</v>
      </c>
      <c r="DJ33" s="295" t="str">
        <f>IF((SCRF=0),"-",IF(AND(MSASC&gt;AG,SCRMG&lt;(0.75*SCRF)),"valid","ERROR"))</f>
        <v>-</v>
      </c>
      <c r="DK33" s="266" t="str">
        <f>IF((SF=0),"-",IF((SMG&lt;(0.75*SF)),"ERROR",IF(AND(MSASP&gt;MSASC,MSASP&gt;AG,MSASP&gt;=0.36*RSAM),"valid","Small")))</f>
        <v>valid</v>
      </c>
      <c r="DL33" s="267" t="str">
        <f>IF(C33="","",CONCATENATE("MG",IF(FLSCR="valid","Scr",""),IF(FLSPI="valid","SP","")))</f>
        <v>MGSP</v>
      </c>
      <c r="DM33" s="294">
        <f>RSAM+RSAG</f>
        <v>72.288479999999993</v>
      </c>
      <c r="DN33" s="256">
        <f>IF(MSASP&gt;0,'Look Ups'!$AI$4*(ZVAL*MSASP-RSAG),0)</f>
        <v>21.263290999999999</v>
      </c>
      <c r="DO33" s="256">
        <f>IF(AND(MSASC&gt;0,(MSASC&gt;=0.36*RSAM)),('Look Ups'!$AI$3*(ZVAL*MSASC-RSAG)),(0))</f>
        <v>0</v>
      </c>
      <c r="DP33" s="256">
        <f>IF(MSASP&gt;0,'Look Ups'!$AI$5*(ZVAL*MSASP-RSAG),0)</f>
        <v>19.845738266666668</v>
      </c>
      <c r="DQ33" s="256">
        <f>IF(MSASC&gt;0,'Look Ups'!$AI$6*(MSASC-RSAG),0)</f>
        <v>0</v>
      </c>
      <c r="DR33" s="280">
        <f>'Look Ups'!$AI$7*MAX(IF(MSAUSC&gt;0,EUSC/100*(MSAUSC-RSAG),0),IF(CR33="Yes",ELSC/100*(MSASC-RSAG),0))</f>
        <v>0</v>
      </c>
      <c r="DS33" s="280">
        <f>0.36*RSAM</f>
        <v>16.195841999999999</v>
      </c>
      <c r="DT33" s="296">
        <f>_xlfn.IFS(SPC="MG",RAMG+DS33,SPC="MGScr",RAMG+RASCO,SPC="MGSp",RAMG+RASPO,SPC="MGScrSp",RAMG+RASPSC+RASCR)+RAUSC+RSAST+RSAD+RSAMZ+RSA2M</f>
        <v>93.551770999999988</v>
      </c>
      <c r="DU33" s="63"/>
    </row>
    <row r="34" spans="1:125" ht="15.6" customHeight="1" x14ac:dyDescent="0.3">
      <c r="A34" s="4"/>
      <c r="B34" s="2"/>
      <c r="C34" s="64" t="s">
        <v>228</v>
      </c>
      <c r="D34" s="85" t="s">
        <v>229</v>
      </c>
      <c r="E34" s="86" t="s">
        <v>230</v>
      </c>
      <c r="F34" s="252">
        <f ca="1">IF(RW=0,0,ROUND(DLF*0.93*RL^LF*RSA^0.4/RW^0.325,3))</f>
        <v>1.222</v>
      </c>
      <c r="G34" s="252" t="str">
        <f ca="1">IF(OR(FLSCR="ERROR",FLSPI="ERROR"),"No",IF(TODAY()-'Look Ups'!$D$4*365&gt;I34,"WP Applied","Yes"))</f>
        <v>Yes</v>
      </c>
      <c r="H34" s="253" t="str">
        <f>IF(SPC="","",CONCATENATE("Main-Genoa",IF(FLSCR="valid",IF(OR(CR34="Yes",MSAUSC&gt;0),"-Screacher (Upwind)","-Screacher"),""),IF(FLSPI="valid","-Spinnaker",""),IF(RSAMZ&gt;0,"-Mizzen",""),IF(RSA2M&gt;0,"-Second Main",""),IF(AS&gt;0,"-Staysail",""),IF(AD&gt;0,"-Drifter","")))</f>
        <v>Main-Genoa-Screacher (Upwind)-Spinnaker</v>
      </c>
      <c r="I34" s="1">
        <v>44049</v>
      </c>
      <c r="J34" s="1">
        <v>44419</v>
      </c>
      <c r="K34" s="87" t="s">
        <v>153</v>
      </c>
      <c r="L34" s="87" t="s">
        <v>176</v>
      </c>
      <c r="M34" s="207"/>
      <c r="N34" s="97" t="s">
        <v>165</v>
      </c>
      <c r="O34" s="97"/>
      <c r="P34" s="100"/>
      <c r="Q34" s="90">
        <v>8.99</v>
      </c>
      <c r="R34" s="87"/>
      <c r="S34" s="256">
        <f>IF((LOAA&gt;LOA),0.025*LOAA,0.025*LOA)</f>
        <v>0.22475000000000001</v>
      </c>
      <c r="T34" s="91">
        <v>0</v>
      </c>
      <c r="U34" s="91">
        <v>0</v>
      </c>
      <c r="V34" s="258">
        <f>IF((_xlfn.SINGLE(LOAA)&gt;_xlfn.SINGLE(LOA)),_xlfn.SINGLE(LOAA),_xlfn.SINGLE(LOA)-_xlfn.SINGLE(FOC)-_xlfn.SINGLE(AOC))</f>
        <v>8.99</v>
      </c>
      <c r="W34" s="259">
        <f>IF(RL&gt;0,IF(RL&gt;'Look Ups'!Y$7,'Look Ups'!Y$8,('Look Ups'!Y$3*RL^3+'Look Ups'!Y$4*RL^2+'Look Ups'!Y$5*RL+'Look Ups'!Y$6)),0)</f>
        <v>0.29663375906700001</v>
      </c>
      <c r="X34" s="92">
        <v>820</v>
      </c>
      <c r="Y34" s="262">
        <f ca="1">IF(WDATE&lt;(TODAY()-'Look Ups'!$D$4*365),-WM*'Look Ups'!$D$5/100,0)</f>
        <v>0</v>
      </c>
      <c r="Z34" s="93"/>
      <c r="AA34" s="93"/>
      <c r="AB34" s="75"/>
      <c r="AC34" s="268">
        <f>WCD+NC*'Look Ups'!$AF$3</f>
        <v>0</v>
      </c>
      <c r="AD34" s="268">
        <f ca="1">IF(RL&lt;'Look Ups'!AM$3,'Look Ups'!AM$4,IF(RL&gt;'Look Ups'!AM$5,'Look Ups'!AM$6,(RL-'Look Ups'!AM$3)/('Look Ups'!AM$5-'Look Ups'!AM$3)*('Look Ups'!AM$6-'Look Ups'!AM$4)+'Look Ups'!AM$4))/100*WS</f>
        <v>177.71636363636364</v>
      </c>
      <c r="AE34" s="266">
        <f ca="1">WM+WP+WE</f>
        <v>820</v>
      </c>
      <c r="AF34" s="267">
        <f ca="1">_xlfn.SINGLE(WS)+IF(_xlfn.SINGLE(TCW)&gt;=_xlfn.SINGLE(CWA),_xlfn.SINGLE(CWA),_xlfn.SINGLE(TCW))</f>
        <v>820</v>
      </c>
      <c r="AG34" s="94" t="s">
        <v>145</v>
      </c>
      <c r="AH34" s="95" t="s">
        <v>146</v>
      </c>
      <c r="AI34" s="96" t="s">
        <v>147</v>
      </c>
      <c r="AJ34" s="218"/>
      <c r="AK34" s="273">
        <f>IF(C34="",0,VLOOKUP(AG34,'Look Ups'!$F$3:$G$6,2,0)*VLOOKUP(AH34,'Look Ups'!$I$3:$J$5,2,0)*VLOOKUP(AI34,'Look Ups'!$L$3:$M$7,2,0)*IF(AJ34="",1,VLOOKUP(AJ34,'Look Ups'!$O$3:$P$4,2,0)))</f>
        <v>1</v>
      </c>
      <c r="AL34" s="83">
        <v>14.68</v>
      </c>
      <c r="AM34" s="91">
        <v>14.42</v>
      </c>
      <c r="AN34" s="91">
        <v>4.01</v>
      </c>
      <c r="AO34" s="91">
        <v>2.0699999999999998</v>
      </c>
      <c r="AP34" s="91">
        <v>0.11</v>
      </c>
      <c r="AQ34" s="91">
        <v>14.61</v>
      </c>
      <c r="AR34" s="91">
        <v>0.12</v>
      </c>
      <c r="AS34" s="91">
        <v>4.05</v>
      </c>
      <c r="AT34" s="91">
        <v>0.04</v>
      </c>
      <c r="AU34" s="91">
        <v>0.6</v>
      </c>
      <c r="AV34" s="91" t="s">
        <v>148</v>
      </c>
      <c r="AW34" s="97"/>
      <c r="AX34" s="256">
        <f>P+ER</f>
        <v>14.649999999999999</v>
      </c>
      <c r="AY34" s="256">
        <f>P*0.375*MC</f>
        <v>3.2872499999999998</v>
      </c>
      <c r="AZ34" s="275">
        <f>IF(C34="",0,(0.5*(_ML1*LPM)+0.5*(_ML1*HB)+0.66*(P*PR)+0.66*(_ML2*RDM)+0.66*(E*ER))*VLOOKUP(BATT,'Look Ups'!$U$3:$V$4,2,0))</f>
        <v>46.938123999999995</v>
      </c>
      <c r="BA34" s="98"/>
      <c r="BB34" s="99"/>
      <c r="BC34" s="83">
        <v>10.78</v>
      </c>
      <c r="BD34" s="91">
        <v>3.18</v>
      </c>
      <c r="BE34" s="91">
        <v>3.39</v>
      </c>
      <c r="BF34" s="91">
        <v>0.13</v>
      </c>
      <c r="BG34" s="91">
        <v>10.17</v>
      </c>
      <c r="BH34" s="91">
        <v>9.6199999999999992</v>
      </c>
      <c r="BI34" s="91">
        <v>0.36</v>
      </c>
      <c r="BJ34" s="91">
        <v>-7.0000000000000007E-2</v>
      </c>
      <c r="BK34" s="91">
        <v>-0.04</v>
      </c>
      <c r="BL34" s="97"/>
      <c r="BM34" s="275">
        <f>(0.5*LL*LPG)+(0.5*_LG1*HG)+(0.66*LL*LLRG)+(0.66*FG*FRG)+(IF((HG&gt;0),(0.66*_LG2*LRG),(0.66*_LG1*LRG)))</f>
        <v>18.532626</v>
      </c>
      <c r="BN34" s="282"/>
      <c r="BO34" s="283"/>
      <c r="BP34" s="284"/>
      <c r="BQ34" s="284"/>
      <c r="BR34" s="283"/>
      <c r="BS34" s="284"/>
      <c r="BT34" s="284"/>
      <c r="BU34" s="280">
        <f>(0.5*LLS*LPS)+(0.66*LLS*LLRS)+(0.66*LS*LRS)+(0.66*FS*FRS)</f>
        <v>0</v>
      </c>
      <c r="BV34" s="285"/>
      <c r="BW34" s="283"/>
      <c r="BX34" s="283"/>
      <c r="BY34" s="283"/>
      <c r="BZ34" s="283"/>
      <c r="CA34" s="283"/>
      <c r="CB34" s="283"/>
      <c r="CC34" s="275">
        <f>(0.5*LLD*LPD)+(0.66*LLD*LLRD)+(0.66*LCHD*LRD)+(0.66*FD*FRD)</f>
        <v>0</v>
      </c>
      <c r="CD34" s="98">
        <v>7.5</v>
      </c>
      <c r="CE34" s="91">
        <v>15.68</v>
      </c>
      <c r="CF34" s="91">
        <v>14.52</v>
      </c>
      <c r="CG34" s="91">
        <v>6.28</v>
      </c>
      <c r="CH34" s="266">
        <f>IF(SF&gt;0,SMG/SF*100,"")</f>
        <v>83.733333333333334</v>
      </c>
      <c r="CI34" s="283"/>
      <c r="CJ34" s="280">
        <f>SF*(_SL1+_SL2)/4+(SMG-SF/2)*(_SL1+_SL2)/3</f>
        <v>82.093666666666664</v>
      </c>
      <c r="CK34" s="83">
        <v>6.05</v>
      </c>
      <c r="CL34" s="91">
        <v>15</v>
      </c>
      <c r="CM34" s="91">
        <v>13.44</v>
      </c>
      <c r="CN34" s="91">
        <v>3.04</v>
      </c>
      <c r="CO34" s="256">
        <f>IF(SCRF&gt;0,SCRMG/SCRF*100,"")</f>
        <v>50.247933884297524</v>
      </c>
      <c r="CP34" s="283"/>
      <c r="CQ34" s="256">
        <f>SCRF*(SCRL1+SCRL2)/4+(SCRMG-SCRF/2)*(SCRL1+SCRL2)/3</f>
        <v>43.157699999999998</v>
      </c>
      <c r="CR34" s="256" t="str">
        <f>IF(CO34&lt;'Look Ups'!$AC$4,"Yes","No")</f>
        <v>Yes</v>
      </c>
      <c r="CS34" s="267">
        <f>IF(CR34="Yes",MIN(150,('Look Ups'!$AC$4-PSCR)/('Look Ups'!$AC$4-'Look Ups'!$AC$3)*100),0)</f>
        <v>35.041322314049523</v>
      </c>
      <c r="CT34" s="83"/>
      <c r="CU34" s="91"/>
      <c r="CV34" s="91"/>
      <c r="CW34" s="91"/>
      <c r="CX34" s="256" t="str">
        <f>IF(USCRF&gt;0,USCRMG/USCRF*100,"")</f>
        <v/>
      </c>
      <c r="CY34" s="293">
        <f>IF(PUSCR&lt;'Look Ups'!$AC$4,MIN(150,('Look Ups'!$AC$4-PUSCR)/('Look Ups'!$AC$4-'Look Ups'!$AC$3)*100),0)</f>
        <v>0</v>
      </c>
      <c r="CZ34" s="275">
        <f>IF(PUSCR&lt;'Look Ups'!$AC$4,USCRF*(USCRL1+USCRL2)/4+(USCRMG-USCRF/2)*(USCRL1+USCRL2)/3,0)</f>
        <v>0</v>
      </c>
      <c r="DA34" s="294">
        <f>IF(ZVAL=1,1,IF(LPM&gt;0,0.64*((AM+MAM)/(E+(MC/2))^2)^0.3,0))</f>
        <v>1</v>
      </c>
      <c r="DB34" s="256">
        <f>0.65*((AM+MAM)*EFM)+0.35*((AM+MAM)*ZVAL)</f>
        <v>50.225374000000002</v>
      </c>
      <c r="DC34" s="256">
        <f>IF(ZVAL=1,1,IF(LPG&gt;0,0.72*(AG/(LPG^2))^0.3,0))</f>
        <v>1</v>
      </c>
      <c r="DD34" s="256">
        <f>AG*EFG</f>
        <v>18.532626</v>
      </c>
      <c r="DE34" s="256">
        <f>IF(AZ34&gt;0,'Look Ups'!$S$3,0)</f>
        <v>1</v>
      </c>
      <c r="DF34" s="256">
        <f>IF(LPS&gt;0,0.72*(AS/(LPS^2))^0.3,0)</f>
        <v>0</v>
      </c>
      <c r="DG34" s="256">
        <f>EFS*AS</f>
        <v>0</v>
      </c>
      <c r="DH34" s="256">
        <f>IF(LPD&gt;0,0.72*(AD/(LPD^2))^0.3,0)</f>
        <v>0</v>
      </c>
      <c r="DI34" s="280">
        <f>IF((AD-AG)&gt;0,0.3*(AD-AG)*EFD,0)</f>
        <v>0</v>
      </c>
      <c r="DJ34" s="295" t="str">
        <f>IF((SCRF=0),"-",IF(AND(MSASC&gt;AG,SCRMG&lt;(0.75*SCRF)),"valid","ERROR"))</f>
        <v>valid</v>
      </c>
      <c r="DK34" s="266" t="str">
        <f>IF((SF=0),"-",IF((SMG&lt;(0.75*SF)),"ERROR",IF(AND(MSASP&gt;MSASC,MSASP&gt;AG,MSASP&gt;=0.36*RSAM),"valid","Small")))</f>
        <v>valid</v>
      </c>
      <c r="DL34" s="267" t="str">
        <f>IF(C34="","",CONCATENATE("MG",IF(FLSCR="valid","Scr",""),IF(FLSPI="valid","SP","")))</f>
        <v>MGScrSP</v>
      </c>
      <c r="DM34" s="294">
        <f>RSAM+RSAG</f>
        <v>68.75800000000001</v>
      </c>
      <c r="DN34" s="256">
        <f>IF(MSASP&gt;0,'Look Ups'!$AI$4*(ZVAL*MSASP-RSAG),0)</f>
        <v>19.068312199999998</v>
      </c>
      <c r="DO34" s="256">
        <f>IF(AND(MSASC&gt;0,(MSASC&gt;=0.36*RSAM)),('Look Ups'!$AI$3*(ZVAL*MSASC-RSAG)),(0))</f>
        <v>8.6187758999999993</v>
      </c>
      <c r="DP34" s="256">
        <f>IF(MSASP&gt;0,'Look Ups'!$AI$5*(ZVAL*MSASP-RSAG),0)</f>
        <v>17.797091386666668</v>
      </c>
      <c r="DQ34" s="256">
        <f>IF(MSASC&gt;0,'Look Ups'!$AI$6*(MSASC-RSAG),0)</f>
        <v>1.7237551799999999</v>
      </c>
      <c r="DR34" s="280">
        <f>'Look Ups'!$AI$7*MAX(IF(MSAUSC&gt;0,EUSC/100*(MSAUSC-RSAG),0),IF(CR34="Yes",ELSC/100*(MSASC-RSAG),0))</f>
        <v>2.1572378876033018</v>
      </c>
      <c r="DS34" s="280">
        <f>0.36*RSAM</f>
        <v>18.081134639999998</v>
      </c>
      <c r="DT34" s="296">
        <f>_xlfn.IFS(SPC="MG",RAMG+DS34,SPC="MGScr",RAMG+RASCO,SPC="MGSp",RAMG+RASPO,SPC="MGScrSp",RAMG+RASPSC+RASCR)+RAUSC+RSAST+RSAD+RSAMZ+RSA2M</f>
        <v>90.436084454269974</v>
      </c>
      <c r="DU34" s="63"/>
    </row>
    <row r="35" spans="1:125" ht="15.6" customHeight="1" x14ac:dyDescent="0.3">
      <c r="A35" s="4"/>
      <c r="B35" s="84"/>
      <c r="C35" s="64" t="s">
        <v>231</v>
      </c>
      <c r="D35" s="101" t="s">
        <v>173</v>
      </c>
      <c r="E35" s="86" t="s">
        <v>232</v>
      </c>
      <c r="F35" s="252">
        <f ca="1">IF(RW=0,0,ROUND(DLF*0.93*RL^LF*RSA^0.4/RW^0.325,3))</f>
        <v>0.88</v>
      </c>
      <c r="G35" s="252" t="str">
        <f ca="1">IF(OR(FLSCR="ERROR",FLSPI="ERROR"),"No",IF(TODAY()-'Look Ups'!$D$4*365&gt;I35,"WP Applied","Yes"))</f>
        <v>Yes</v>
      </c>
      <c r="H35" s="253" t="str">
        <f>IF(SPC="","",CONCATENATE("Main-Genoa",IF(FLSCR="valid",IF(OR(CR35="Yes",MSAUSC&gt;0),"-Screacher (Upwind)","-Screacher"),""),IF(FLSPI="valid","-Spinnaker",""),IF(RSAMZ&gt;0,"-Mizzen",""),IF(RSA2M&gt;0,"-Second Main",""),IF(AS&gt;0,"-Staysail",""),IF(AD&gt;0,"-Drifter","")))</f>
        <v>Main-Genoa-Screacher-Spinnaker</v>
      </c>
      <c r="I35" s="1">
        <v>43186</v>
      </c>
      <c r="J35" s="1">
        <v>43186</v>
      </c>
      <c r="K35" s="87" t="s">
        <v>182</v>
      </c>
      <c r="L35" s="87" t="s">
        <v>142</v>
      </c>
      <c r="M35" s="207"/>
      <c r="N35" s="97" t="s">
        <v>165</v>
      </c>
      <c r="O35" s="97"/>
      <c r="P35" s="102"/>
      <c r="Q35" s="90">
        <v>15.85</v>
      </c>
      <c r="R35" s="87"/>
      <c r="S35" s="256">
        <f>IF((LOAA&gt;LOA),0.025*LOAA,0.025*LOA)</f>
        <v>0.39624999999999999</v>
      </c>
      <c r="T35" s="91"/>
      <c r="U35" s="91"/>
      <c r="V35" s="258">
        <f>IF((_xlfn.SINGLE(LOAA)&gt;_xlfn.SINGLE(LOA)),_xlfn.SINGLE(LOAA),_xlfn.SINGLE(LOA)-_xlfn.SINGLE(FOC)-_xlfn.SINGLE(AOC))</f>
        <v>15.85</v>
      </c>
      <c r="W35" s="259">
        <f>IF(RL&gt;0,IF(RL&gt;'Look Ups'!Y$7,'Look Ups'!Y$8,('Look Ups'!Y$3*RL^3+'Look Ups'!Y$4*RL^2+'Look Ups'!Y$5*RL+'Look Ups'!Y$6)),0)</f>
        <v>0.3</v>
      </c>
      <c r="X35" s="92">
        <v>8285</v>
      </c>
      <c r="Y35" s="262">
        <f ca="1">IF(WDATE&lt;(TODAY()-'Look Ups'!$D$4*365),-WM*'Look Ups'!$D$5/100,0)</f>
        <v>0</v>
      </c>
      <c r="Z35" s="93"/>
      <c r="AA35" s="93"/>
      <c r="AB35" s="223"/>
      <c r="AC35" s="268">
        <f>WCD+NC*'Look Ups'!$AF$3</f>
        <v>0</v>
      </c>
      <c r="AD35" s="268">
        <f ca="1">IF(RL&lt;'Look Ups'!AM$3,'Look Ups'!AM$4,IF(RL&gt;'Look Ups'!AM$5,'Look Ups'!AM$6,(RL-'Look Ups'!AM$3)/('Look Ups'!AM$5-'Look Ups'!AM$3)*('Look Ups'!AM$6-'Look Ups'!AM$4)+'Look Ups'!AM$4))/100*WS</f>
        <v>828.5</v>
      </c>
      <c r="AE35" s="266">
        <f ca="1">WM+WP+WE</f>
        <v>8285</v>
      </c>
      <c r="AF35" s="267">
        <f ca="1">_xlfn.SINGLE(WS)+IF(_xlfn.SINGLE(TCW)&gt;=_xlfn.SINGLE(CWA),_xlfn.SINGLE(CWA),_xlfn.SINGLE(TCW))</f>
        <v>8285</v>
      </c>
      <c r="AG35" s="94" t="s">
        <v>145</v>
      </c>
      <c r="AH35" s="95" t="s">
        <v>146</v>
      </c>
      <c r="AI35" s="96" t="s">
        <v>177</v>
      </c>
      <c r="AJ35" s="218"/>
      <c r="AK35" s="273">
        <f>IF(C35="",0,VLOOKUP(AG35,'Look Ups'!$F$3:$G$6,2,0)*VLOOKUP(AH35,'Look Ups'!$I$3:$J$5,2,0)*VLOOKUP(AI35,'Look Ups'!$L$3:$M$7,2,0)*IF(AJ35="",1,VLOOKUP(AJ35,'Look Ups'!$O$3:$P$4,2,0)))</f>
        <v>0.99</v>
      </c>
      <c r="AL35" s="83">
        <v>19.670000000000002</v>
      </c>
      <c r="AM35" s="91">
        <v>19.36</v>
      </c>
      <c r="AN35" s="91">
        <v>4.9000000000000004</v>
      </c>
      <c r="AO35" s="91">
        <v>1.9300000000000002</v>
      </c>
      <c r="AP35" s="91">
        <v>0.72</v>
      </c>
      <c r="AQ35" s="91">
        <v>19.5</v>
      </c>
      <c r="AR35" s="91">
        <v>0.17</v>
      </c>
      <c r="AS35" s="91">
        <v>4.99</v>
      </c>
      <c r="AT35" s="91">
        <v>0.02</v>
      </c>
      <c r="AU35" s="91"/>
      <c r="AV35" s="91" t="s">
        <v>148</v>
      </c>
      <c r="AW35" s="97"/>
      <c r="AX35" s="256">
        <f>P+ER</f>
        <v>19.52</v>
      </c>
      <c r="AY35" s="256">
        <f>P*0.375*MC</f>
        <v>0</v>
      </c>
      <c r="AZ35" s="275">
        <f>IF(C35="",0,(0.5*(_ML1*LPM)+0.5*(_ML1*HB)+0.66*(P*PR)+0.66*(_ML2*RDM)+0.66*(E*ER))*VLOOKUP(BATT,'Look Ups'!$U$3:$V$4,2,0))</f>
        <v>78.626689999999996</v>
      </c>
      <c r="BA35" s="98"/>
      <c r="BB35" s="99"/>
      <c r="BC35" s="83">
        <v>17.73</v>
      </c>
      <c r="BD35" s="91">
        <v>6.15</v>
      </c>
      <c r="BE35" s="91">
        <v>7.13</v>
      </c>
      <c r="BF35" s="91">
        <v>0.5</v>
      </c>
      <c r="BG35" s="91">
        <v>15.37</v>
      </c>
      <c r="BH35" s="91"/>
      <c r="BI35" s="91"/>
      <c r="BJ35" s="91">
        <v>-0.05</v>
      </c>
      <c r="BK35" s="91">
        <v>-7.0000000000000007E-2</v>
      </c>
      <c r="BL35" s="97"/>
      <c r="BM35" s="275">
        <f>(0.5*LL*LPG)+(0.5*_LG1*HG)+(0.66*LL*LLRG)+(0.66*FG*FRG)+(IF((HG&gt;0),(0.66*_LG2*LRG),(0.66*_LG1*LRG)))</f>
        <v>55.546314000000002</v>
      </c>
      <c r="BN35" s="282"/>
      <c r="BO35" s="283"/>
      <c r="BP35" s="284"/>
      <c r="BQ35" s="284"/>
      <c r="BR35" s="283"/>
      <c r="BS35" s="284"/>
      <c r="BT35" s="284"/>
      <c r="BU35" s="280">
        <f>(0.5*LLS*LPS)+(0.66*LLS*LLRS)+(0.66*LS*LRS)+(0.66*FS*FRS)</f>
        <v>0</v>
      </c>
      <c r="BV35" s="285"/>
      <c r="BW35" s="283"/>
      <c r="BX35" s="283"/>
      <c r="BY35" s="283"/>
      <c r="BZ35" s="283"/>
      <c r="CA35" s="283"/>
      <c r="CB35" s="283"/>
      <c r="CC35" s="275">
        <f>(0.5*LLD*LPD)+(0.66*LLD*LLRD)+(0.66*LCHD*LRD)+(0.66*FD*FRD)</f>
        <v>0</v>
      </c>
      <c r="CD35" s="98">
        <v>12.28</v>
      </c>
      <c r="CE35" s="91">
        <v>20.6</v>
      </c>
      <c r="CF35" s="91">
        <v>18.7</v>
      </c>
      <c r="CG35" s="91">
        <v>10.72</v>
      </c>
      <c r="CH35" s="266">
        <f>IF(SF&gt;0,SMG/SF*100,"")</f>
        <v>87.296416938110752</v>
      </c>
      <c r="CI35" s="286"/>
      <c r="CJ35" s="280">
        <f>SF*(_SL1+_SL2)/4+(SMG-SF/2)*(_SL1+_SL2)/3</f>
        <v>180.649</v>
      </c>
      <c r="CK35" s="83">
        <v>9.5299999999999994</v>
      </c>
      <c r="CL35" s="91">
        <v>19.600000000000001</v>
      </c>
      <c r="CM35" s="91">
        <v>15.8</v>
      </c>
      <c r="CN35" s="91">
        <v>5.12</v>
      </c>
      <c r="CO35" s="256">
        <f>IF(SCRF&gt;0,SCRMG/SCRF*100,"")</f>
        <v>53.725078698845749</v>
      </c>
      <c r="CP35" s="286"/>
      <c r="CQ35" s="256">
        <f>SCRF*(SCRL1+SCRL2)/4+(SCRMG-SCRF/2)*(SCRL1+SCRL2)/3</f>
        <v>88.529500000000013</v>
      </c>
      <c r="CR35" s="256" t="str">
        <f>IF(CO35&lt;'Look Ups'!$AC$4,"Yes","No")</f>
        <v>No</v>
      </c>
      <c r="CS35" s="267">
        <f>IF(CR35="Yes",MIN(150,('Look Ups'!$AC$4-PSCR)/('Look Ups'!$AC$4-'Look Ups'!$AC$3)*100),0)</f>
        <v>0</v>
      </c>
      <c r="CT35" s="83"/>
      <c r="CU35" s="91"/>
      <c r="CV35" s="91"/>
      <c r="CW35" s="91"/>
      <c r="CX35" s="256" t="str">
        <f>IF(USCRF&gt;0,USCRMG/USCRF*100,"")</f>
        <v/>
      </c>
      <c r="CY35" s="293">
        <f>IF(PUSCR&lt;'Look Ups'!$AC$4,MIN(150,('Look Ups'!$AC$4-PUSCR)/('Look Ups'!$AC$4-'Look Ups'!$AC$3)*100),0)</f>
        <v>0</v>
      </c>
      <c r="CZ35" s="275">
        <f>IF(PUSCR&lt;'Look Ups'!$AC$4,USCRF*(USCRL1+USCRL2)/4+(USCRMG-USCRF/2)*(USCRL1+USCRL2)/3,0)</f>
        <v>0</v>
      </c>
      <c r="DA35" s="294">
        <f>IF(ZVAL=1,1,IF(LPM&gt;0,0.64*((AM+MAM)/(E+(MC/2))^2)^0.3,0))</f>
        <v>1</v>
      </c>
      <c r="DB35" s="256">
        <f>0.65*((AM+MAM)*EFM)+0.35*((AM+MAM)*ZVAL)</f>
        <v>78.626689999999996</v>
      </c>
      <c r="DC35" s="256">
        <f>IF(ZVAL=1,1,IF(LPG&gt;0,0.72*(AG/(LPG^2))^0.3,0))</f>
        <v>1</v>
      </c>
      <c r="DD35" s="256">
        <f>AG*EFG</f>
        <v>55.546314000000002</v>
      </c>
      <c r="DE35" s="256">
        <f>IF(AZ35&gt;0,'Look Ups'!$S$3,0)</f>
        <v>1</v>
      </c>
      <c r="DF35" s="256">
        <f>IF(LPS&gt;0,0.72*(AS/(LPS^2))^0.3,0)</f>
        <v>0</v>
      </c>
      <c r="DG35" s="256">
        <f>EFS*AS</f>
        <v>0</v>
      </c>
      <c r="DH35" s="256">
        <f>IF(LPD&gt;0,0.72*(AD/(LPD^2))^0.3,0)</f>
        <v>0</v>
      </c>
      <c r="DI35" s="280">
        <f>IF((AD-AG)&gt;0,0.3*(AD-AG)*EFD,0)</f>
        <v>0</v>
      </c>
      <c r="DJ35" s="295" t="str">
        <f>IF((SCRF=0),"-",IF(AND(MSASC&gt;AG,SCRMG&lt;(0.75*SCRF)),"valid","ERROR"))</f>
        <v>valid</v>
      </c>
      <c r="DK35" s="266" t="str">
        <f>IF((SF=0),"-",IF((SMG&lt;(0.75*SF)),"ERROR",IF(AND(MSASP&gt;MSASC,MSASP&gt;AG,MSASP&gt;=0.36*RSAM),"valid","Small")))</f>
        <v>valid</v>
      </c>
      <c r="DL35" s="267" t="str">
        <f>IF(C35="","",CONCATENATE("MG",IF(FLSCR="valid","Scr",""),IF(FLSPI="valid","SP","")))</f>
        <v>MGScrSP</v>
      </c>
      <c r="DM35" s="294">
        <f>RSAM+RSAG</f>
        <v>134.17300399999999</v>
      </c>
      <c r="DN35" s="256">
        <f>IF(MSASP&gt;0,'Look Ups'!$AI$4*(ZVAL*MSASP-RSAG),0)</f>
        <v>37.530805800000003</v>
      </c>
      <c r="DO35" s="256">
        <f>IF(AND(MSASC&gt;0,(MSASC&gt;=0.36*RSAM)),('Look Ups'!$AI$3*(ZVAL*MSASC-RSAG)),(0))</f>
        <v>11.544115100000003</v>
      </c>
      <c r="DP35" s="256">
        <f>IF(MSASP&gt;0,'Look Ups'!$AI$5*(ZVAL*MSASP-RSAG),0)</f>
        <v>35.028752080000004</v>
      </c>
      <c r="DQ35" s="256">
        <f>IF(MSASC&gt;0,'Look Ups'!$AI$6*(MSASC-RSAG),0)</f>
        <v>2.3088230200000011</v>
      </c>
      <c r="DR35" s="280">
        <f>'Look Ups'!$AI$7*MAX(IF(MSAUSC&gt;0,EUSC/100*(MSAUSC-RSAG),0),IF(CR35="Yes",ELSC/100*(MSASC-RSAG),0))</f>
        <v>0</v>
      </c>
      <c r="DS35" s="280">
        <f>0.36*RSAM</f>
        <v>28.305608399999997</v>
      </c>
      <c r="DT35" s="296">
        <f>_xlfn.IFS(SPC="MG",RAMG+DS35,SPC="MGScr",RAMG+RASCO,SPC="MGSp",RAMG+RASPO,SPC="MGScrSp",RAMG+RASPSC+RASCR)+RAUSC+RSAST+RSAD+RSAMZ+RSA2M</f>
        <v>171.5105791</v>
      </c>
      <c r="DU35" s="63"/>
    </row>
    <row r="36" spans="1:125" ht="15.6" customHeight="1" x14ac:dyDescent="0.3">
      <c r="A36" s="4"/>
      <c r="B36" s="64"/>
      <c r="C36" s="64" t="s">
        <v>233</v>
      </c>
      <c r="D36" s="85" t="s">
        <v>234</v>
      </c>
      <c r="E36" s="86" t="s">
        <v>235</v>
      </c>
      <c r="F36" s="252">
        <f ca="1">IF(RW=0,0,ROUND(DLF*0.93*RL^LF*RSA^0.4/RW^0.325,3))</f>
        <v>0.98099999999999998</v>
      </c>
      <c r="G36" s="252" t="str">
        <f ca="1">IF(OR(FLSCR="ERROR",FLSPI="ERROR"),"No",IF(TODAY()-'Look Ups'!$D$4*365&gt;I36,"WP Applied","Yes"))</f>
        <v>Yes</v>
      </c>
      <c r="H36" s="253" t="str">
        <f>IF(SPC="","",CONCATENATE("Main-Genoa",IF(FLSCR="valid",IF(OR(CR36="Yes",MSAUSC&gt;0),"-Screacher (Upwind)","-Screacher"),""),IF(FLSPI="valid","-Spinnaker",""),IF(RSAMZ&gt;0,"-Mizzen",""),IF(RSA2M&gt;0,"-Second Main",""),IF(AS&gt;0,"-Staysail",""),IF(AD&gt;0,"-Drifter","")))</f>
        <v>Main-Genoa-Screacher (Upwind)-Spinnaker</v>
      </c>
      <c r="I36" s="1">
        <v>42587</v>
      </c>
      <c r="J36" s="1">
        <v>42587</v>
      </c>
      <c r="K36" s="87" t="s">
        <v>236</v>
      </c>
      <c r="L36" s="87" t="s">
        <v>159</v>
      </c>
      <c r="M36" s="207"/>
      <c r="N36" s="88" t="s">
        <v>143</v>
      </c>
      <c r="O36" s="88"/>
      <c r="P36" s="100"/>
      <c r="Q36" s="90">
        <v>9.92</v>
      </c>
      <c r="R36" s="87"/>
      <c r="S36" s="256">
        <f>IF((LOAA&gt;LOA),0.025*LOAA,0.025*LOA)</f>
        <v>0.248</v>
      </c>
      <c r="T36" s="91"/>
      <c r="U36" s="91"/>
      <c r="V36" s="258">
        <f>IF((_xlfn.SINGLE(LOAA)&gt;_xlfn.SINGLE(LOA)),_xlfn.SINGLE(LOAA),_xlfn.SINGLE(LOA)-_xlfn.SINGLE(FOC)-_xlfn.SINGLE(AOC))</f>
        <v>9.92</v>
      </c>
      <c r="W36" s="259">
        <f>IF(RL&gt;0,IF(RL&gt;'Look Ups'!Y$7,'Look Ups'!Y$8,('Look Ups'!Y$3*RL^3+'Look Ups'!Y$4*RL^2+'Look Ups'!Y$5*RL+'Look Ups'!Y$6)),0)</f>
        <v>0.29838535910399999</v>
      </c>
      <c r="X36" s="92">
        <v>1985</v>
      </c>
      <c r="Y36" s="262">
        <f ca="1">IF(WDATE&lt;(TODAY()-'Look Ups'!$D$4*365),-WM*'Look Ups'!$D$5/100,0)</f>
        <v>0</v>
      </c>
      <c r="Z36" s="93"/>
      <c r="AA36" s="93"/>
      <c r="AB36" s="75"/>
      <c r="AC36" s="268">
        <f>WCD+NC*'Look Ups'!$AF$3</f>
        <v>0</v>
      </c>
      <c r="AD36" s="268">
        <f ca="1">IF(RL&lt;'Look Ups'!AM$3,'Look Ups'!AM$4,IF(RL&gt;'Look Ups'!AM$5,'Look Ups'!AM$6,(RL-'Look Ups'!AM$3)/('Look Ups'!AM$5-'Look Ups'!AM$3)*('Look Ups'!AM$6-'Look Ups'!AM$4)+'Look Ups'!AM$4))/100*WS</f>
        <v>363.07454545454539</v>
      </c>
      <c r="AE36" s="266">
        <f ca="1">WM+WP+WE</f>
        <v>1985</v>
      </c>
      <c r="AF36" s="267">
        <f ca="1">_xlfn.SINGLE(WS)+IF(_xlfn.SINGLE(TCW)&gt;=_xlfn.SINGLE(CWA),_xlfn.SINGLE(CWA),_xlfn.SINGLE(TCW))</f>
        <v>1985</v>
      </c>
      <c r="AG36" s="94" t="s">
        <v>145</v>
      </c>
      <c r="AH36" s="95" t="s">
        <v>146</v>
      </c>
      <c r="AI36" s="96" t="s">
        <v>147</v>
      </c>
      <c r="AJ36" s="218"/>
      <c r="AK36" s="273">
        <f>IF(C36="",0,VLOOKUP(AG36,'Look Ups'!$F$3:$G$6,2,0)*VLOOKUP(AH36,'Look Ups'!$I$3:$J$5,2,0)*VLOOKUP(AI36,'Look Ups'!$L$3:$M$7,2,0)*IF(AJ36="",1,VLOOKUP(AJ36,'Look Ups'!$O$3:$P$4,2,0)))</f>
        <v>1</v>
      </c>
      <c r="AL36" s="83">
        <v>13.32</v>
      </c>
      <c r="AM36" s="91">
        <v>13.22</v>
      </c>
      <c r="AN36" s="91">
        <v>4.07</v>
      </c>
      <c r="AO36" s="91">
        <v>1.75</v>
      </c>
      <c r="AP36" s="91">
        <v>0.16</v>
      </c>
      <c r="AQ36" s="91">
        <v>13.38</v>
      </c>
      <c r="AR36" s="91">
        <v>0.17</v>
      </c>
      <c r="AS36" s="91">
        <v>4.12</v>
      </c>
      <c r="AT36" s="91">
        <v>0</v>
      </c>
      <c r="AU36" s="91">
        <v>0.61</v>
      </c>
      <c r="AV36" s="91" t="s">
        <v>148</v>
      </c>
      <c r="AW36" s="97"/>
      <c r="AX36" s="256">
        <f>P+ER</f>
        <v>13.38</v>
      </c>
      <c r="AY36" s="256">
        <f>P*0.375*MC</f>
        <v>3.0606749999999998</v>
      </c>
      <c r="AZ36" s="275">
        <f>IF(C36="",0,(0.5*(_ML1*LPM)+0.5*(_ML1*HB)+0.66*(P*PR)+0.66*(_ML2*RDM)+0.66*(E*ER))*VLOOKUP(BATT,'Look Ups'!$U$3:$V$4,2,0))</f>
        <v>41.658467999999999</v>
      </c>
      <c r="BA36" s="98"/>
      <c r="BB36" s="99"/>
      <c r="BC36" s="83">
        <v>11.32</v>
      </c>
      <c r="BD36" s="91">
        <v>3.46</v>
      </c>
      <c r="BE36" s="91">
        <v>3.98</v>
      </c>
      <c r="BF36" s="91">
        <v>0.16</v>
      </c>
      <c r="BG36" s="91">
        <v>9.9</v>
      </c>
      <c r="BH36" s="91"/>
      <c r="BI36" s="91"/>
      <c r="BJ36" s="91">
        <v>0.23</v>
      </c>
      <c r="BK36" s="91">
        <v>0.13</v>
      </c>
      <c r="BL36" s="97"/>
      <c r="BM36" s="275">
        <f>(0.5*LL*LPG)+(0.5*_LG1*HG)+(0.66*LL*LLRG)+(0.66*FG*FRG)+(IF((HG&gt;0),(0.66*_LG2*LRG),(0.66*_LG1*LRG)))</f>
        <v>22.477964</v>
      </c>
      <c r="BN36" s="282"/>
      <c r="BO36" s="283"/>
      <c r="BP36" s="284"/>
      <c r="BQ36" s="284"/>
      <c r="BR36" s="283"/>
      <c r="BS36" s="284"/>
      <c r="BT36" s="284"/>
      <c r="BU36" s="280">
        <f>(0.5*LLS*LPS)+(0.66*LLS*LLRS)+(0.66*LS*LRS)+(0.66*FS*FRS)</f>
        <v>0</v>
      </c>
      <c r="BV36" s="285"/>
      <c r="BW36" s="283"/>
      <c r="BX36" s="283"/>
      <c r="BY36" s="283"/>
      <c r="BZ36" s="283"/>
      <c r="CA36" s="283"/>
      <c r="CB36" s="283"/>
      <c r="CC36" s="275">
        <f>(0.5*LLD*LPD)+(0.66*LLD*LLRD)+(0.66*LCHD*LRD)+(0.66*FD*FRD)</f>
        <v>0</v>
      </c>
      <c r="CD36" s="98">
        <v>10.28</v>
      </c>
      <c r="CE36" s="91">
        <v>15.61</v>
      </c>
      <c r="CF36" s="91">
        <v>13.86</v>
      </c>
      <c r="CG36" s="91">
        <v>9.83</v>
      </c>
      <c r="CH36" s="266">
        <f>IF(SF&gt;0,SMG/SF*100,"")</f>
        <v>95.622568093385212</v>
      </c>
      <c r="CI36" s="283"/>
      <c r="CJ36" s="280">
        <f>SF*(_SL1+_SL2)/4+(SMG-SF/2)*(_SL1+_SL2)/3</f>
        <v>121.80933333333334</v>
      </c>
      <c r="CK36" s="83">
        <v>6.97</v>
      </c>
      <c r="CL36" s="91">
        <v>14.2</v>
      </c>
      <c r="CM36" s="91">
        <v>11.76</v>
      </c>
      <c r="CN36" s="91">
        <v>3.5</v>
      </c>
      <c r="CO36" s="256">
        <f>IF(SCRF&gt;0,SCRMG/SCRF*100,"")</f>
        <v>50.215208034433289</v>
      </c>
      <c r="CP36" s="283"/>
      <c r="CQ36" s="256">
        <f>SCRF*(SCRL1+SCRL2)/4+(SCRMG-SCRF/2)*(SCRL1+SCRL2)/3</f>
        <v>45.365100000000005</v>
      </c>
      <c r="CR36" s="256" t="str">
        <f>IF(CO36&lt;'Look Ups'!$AC$4,"Yes","No")</f>
        <v>Yes</v>
      </c>
      <c r="CS36" s="267">
        <f>IF(CR36="Yes",MIN(150,('Look Ups'!$AC$4-PSCR)/('Look Ups'!$AC$4-'Look Ups'!$AC$3)*100),0)</f>
        <v>35.695839311334225</v>
      </c>
      <c r="CT36" s="83"/>
      <c r="CU36" s="91"/>
      <c r="CV36" s="91"/>
      <c r="CW36" s="91"/>
      <c r="CX36" s="256" t="str">
        <f>IF(USCRF&gt;0,USCRMG/USCRF*100,"")</f>
        <v/>
      </c>
      <c r="CY36" s="293">
        <f>IF(PUSCR&lt;'Look Ups'!$AC$4,MIN(150,('Look Ups'!$AC$4-PUSCR)/('Look Ups'!$AC$4-'Look Ups'!$AC$3)*100),0)</f>
        <v>0</v>
      </c>
      <c r="CZ36" s="275">
        <f>IF(PUSCR&lt;'Look Ups'!$AC$4,USCRF*(USCRL1+USCRL2)/4+(USCRMG-USCRF/2)*(USCRL1+USCRL2)/3,0)</f>
        <v>0</v>
      </c>
      <c r="DA36" s="294">
        <f>IF(ZVAL=1,1,IF(LPM&gt;0,0.64*((AM+MAM)/(E+(MC/2))^2)^0.3,0))</f>
        <v>1</v>
      </c>
      <c r="DB36" s="256">
        <f>0.65*((AM+MAM)*EFM)+0.35*((AM+MAM)*ZVAL)</f>
        <v>44.719143000000003</v>
      </c>
      <c r="DC36" s="256">
        <f>IF(ZVAL=1,1,IF(LPG&gt;0,0.72*(AG/(LPG^2))^0.3,0))</f>
        <v>1</v>
      </c>
      <c r="DD36" s="256">
        <f>AG*EFG</f>
        <v>22.477964</v>
      </c>
      <c r="DE36" s="256">
        <f>IF(AZ36&gt;0,'Look Ups'!$S$3,0)</f>
        <v>1</v>
      </c>
      <c r="DF36" s="256">
        <f>IF(LPS&gt;0,0.72*(AS/(LPS^2))^0.3,0)</f>
        <v>0</v>
      </c>
      <c r="DG36" s="256">
        <f>EFS*AS</f>
        <v>0</v>
      </c>
      <c r="DH36" s="256">
        <f>IF(LPD&gt;0,0.72*(AD/(LPD^2))^0.3,0)</f>
        <v>0</v>
      </c>
      <c r="DI36" s="280">
        <f>IF((AD-AG)&gt;0,0.3*(AD-AG)*EFD,0)</f>
        <v>0</v>
      </c>
      <c r="DJ36" s="295" t="str">
        <f>IF((SCRF=0),"-",IF(AND(MSASC&gt;AG,SCRMG&lt;(0.75*SCRF)),"valid","ERROR"))</f>
        <v>valid</v>
      </c>
      <c r="DK36" s="266" t="str">
        <f>IF((SF=0),"-",IF((SMG&lt;(0.75*SF)),"ERROR",IF(AND(MSASP&gt;MSASC,MSASP&gt;AG,MSASP&gt;=0.36*RSAM),"valid","Small")))</f>
        <v>valid</v>
      </c>
      <c r="DL36" s="267" t="str">
        <f>IF(C36="","",CONCATENATE("MG",IF(FLSCR="valid","Scr",""),IF(FLSPI="valid","SP","")))</f>
        <v>MGScrSP</v>
      </c>
      <c r="DM36" s="294">
        <f>RSAM+RSAG</f>
        <v>67.197107000000003</v>
      </c>
      <c r="DN36" s="256">
        <f>IF(MSASP&gt;0,'Look Ups'!$AI$4*(ZVAL*MSASP-RSAG),0)</f>
        <v>29.7994108</v>
      </c>
      <c r="DO36" s="256">
        <f>IF(AND(MSASC&gt;0,(MSASC&gt;=0.36*RSAM)),('Look Ups'!$AI$3*(ZVAL*MSASC-RSAG)),(0))</f>
        <v>8.0104976000000008</v>
      </c>
      <c r="DP36" s="256">
        <f>IF(MSASP&gt;0,'Look Ups'!$AI$5*(ZVAL*MSASP-RSAG),0)</f>
        <v>27.812783413333339</v>
      </c>
      <c r="DQ36" s="256">
        <f>IF(MSASC&gt;0,'Look Ups'!$AI$6*(MSASC-RSAG),0)</f>
        <v>1.6020995200000006</v>
      </c>
      <c r="DR36" s="280">
        <f>'Look Ups'!$AI$7*MAX(IF(MSAUSC&gt;0,EUSC/100*(MSAUSC-RSAG),0),IF(CR36="Yes",ELSC/100*(MSASC-RSAG),0))</f>
        <v>2.0424388223816323</v>
      </c>
      <c r="DS36" s="280">
        <f>0.36*RSAM</f>
        <v>16.098891479999999</v>
      </c>
      <c r="DT36" s="296">
        <f>_xlfn.IFS(SPC="MG",RAMG+DS36,SPC="MGScr",RAMG+RASCO,SPC="MGSp",RAMG+RASPO,SPC="MGScrSp",RAMG+RASPSC+RASCR)+RAUSC+RSAST+RSAD+RSAMZ+RSA2M</f>
        <v>98.65442875571496</v>
      </c>
      <c r="DU36" s="63"/>
    </row>
    <row r="37" spans="1:125" ht="15.6" customHeight="1" x14ac:dyDescent="0.3">
      <c r="A37" s="4"/>
      <c r="B37" s="84"/>
      <c r="C37" s="64" t="s">
        <v>237</v>
      </c>
      <c r="D37" s="85" t="s">
        <v>238</v>
      </c>
      <c r="E37" s="86" t="s">
        <v>239</v>
      </c>
      <c r="F37" s="252">
        <f ca="1">IF(RW=0,0,ROUND(DLF*0.93*RL^LF*RSA^0.4/RW^0.325,3))</f>
        <v>0.81699999999999995</v>
      </c>
      <c r="G37" s="252" t="str">
        <f ca="1">IF(OR(FLSCR="ERROR",FLSPI="ERROR"),"No",IF(TODAY()-'Look Ups'!$D$4*365&gt;I37,"WP Applied","Yes"))</f>
        <v>WP Applied</v>
      </c>
      <c r="H37" s="253" t="str">
        <f>IF(SPC="","",CONCATENATE("Main-Genoa",IF(FLSCR="valid",IF(OR(CR37="Yes",MSAUSC&gt;0),"-Screacher (Upwind)","-Screacher"),""),IF(FLSPI="valid","-Spinnaker",""),IF(RSAMZ&gt;0,"-Mizzen",""),IF(RSA2M&gt;0,"-Second Main",""),IF(AS&gt;0,"-Staysail",""),IF(AD&gt;0,"-Drifter","")))</f>
        <v>Main-Genoa-Screacher</v>
      </c>
      <c r="I37" s="1">
        <v>39039</v>
      </c>
      <c r="J37" s="1">
        <v>43499</v>
      </c>
      <c r="K37" s="87" t="s">
        <v>240</v>
      </c>
      <c r="L37" s="87" t="s">
        <v>241</v>
      </c>
      <c r="M37" s="207"/>
      <c r="N37" s="88" t="s">
        <v>143</v>
      </c>
      <c r="O37" s="88" t="s">
        <v>154</v>
      </c>
      <c r="P37" s="89"/>
      <c r="Q37" s="90">
        <v>6</v>
      </c>
      <c r="R37" s="87"/>
      <c r="S37" s="256">
        <f>IF((LOAA&gt;LOA),0.025*LOAA,0.025*LOA)</f>
        <v>0.15000000000000002</v>
      </c>
      <c r="T37" s="91">
        <v>0</v>
      </c>
      <c r="U37" s="91"/>
      <c r="V37" s="258">
        <f>IF((_xlfn.SINGLE(LOAA)&gt;_xlfn.SINGLE(LOA)),_xlfn.SINGLE(LOAA),_xlfn.SINGLE(LOA)-_xlfn.SINGLE(FOC)-_xlfn.SINGLE(AOC))</f>
        <v>6</v>
      </c>
      <c r="W37" s="259">
        <f>IF(RL&gt;0,IF(RL&gt;'Look Ups'!Y$7,'Look Ups'!Y$8,('Look Ups'!Y$3*RL^3+'Look Ups'!Y$4*RL^2+'Look Ups'!Y$5*RL+'Look Ups'!Y$6)),0)</f>
        <v>0.28422800000000004</v>
      </c>
      <c r="X37" s="92">
        <v>660</v>
      </c>
      <c r="Y37" s="262">
        <f ca="1">IF(WDATE&lt;(TODAY()-'Look Ups'!$D$4*365),-WM*'Look Ups'!$D$5/100,0)</f>
        <v>-99</v>
      </c>
      <c r="Z37" s="93"/>
      <c r="AA37" s="93"/>
      <c r="AB37" s="75"/>
      <c r="AC37" s="268">
        <f>WCD+NC*'Look Ups'!$AF$3</f>
        <v>0</v>
      </c>
      <c r="AD37" s="268">
        <f ca="1">IF(RL&lt;'Look Ups'!AM$3,'Look Ups'!AM$4,IF(RL&gt;'Look Ups'!AM$5,'Look Ups'!AM$6,(RL-'Look Ups'!AM$3)/('Look Ups'!AM$5-'Look Ups'!AM$3)*('Look Ups'!AM$6-'Look Ups'!AM$4)+'Look Ups'!AM$4))/100*WS</f>
        <v>168.29999999999998</v>
      </c>
      <c r="AE37" s="266">
        <f ca="1">WM+WP+WE</f>
        <v>561</v>
      </c>
      <c r="AF37" s="267">
        <f ca="1">_xlfn.SINGLE(WS)+IF(_xlfn.SINGLE(TCW)&gt;=_xlfn.SINGLE(CWA),_xlfn.SINGLE(CWA),_xlfn.SINGLE(TCW))</f>
        <v>561</v>
      </c>
      <c r="AG37" s="94" t="s">
        <v>145</v>
      </c>
      <c r="AH37" s="95" t="s">
        <v>146</v>
      </c>
      <c r="AI37" s="96" t="s">
        <v>147</v>
      </c>
      <c r="AJ37" s="218"/>
      <c r="AK37" s="273">
        <f>IF(C37="",0,VLOOKUP(AG37,'Look Ups'!$F$3:$G$6,2,0)*VLOOKUP(AH37,'Look Ups'!$I$3:$J$5,2,0)*VLOOKUP(AI37,'Look Ups'!$L$3:$M$7,2,0)*IF(AJ37="",1,VLOOKUP(AJ37,'Look Ups'!$O$3:$P$4,2,0)))</f>
        <v>1</v>
      </c>
      <c r="AL37" s="83">
        <v>7.83</v>
      </c>
      <c r="AM37" s="91">
        <v>7.62</v>
      </c>
      <c r="AN37" s="91">
        <v>2.2599999999999998</v>
      </c>
      <c r="AO37" s="91">
        <v>0.97</v>
      </c>
      <c r="AP37" s="91">
        <v>0.33</v>
      </c>
      <c r="AQ37" s="91">
        <v>7.57</v>
      </c>
      <c r="AR37" s="91">
        <v>0.08</v>
      </c>
      <c r="AS37" s="91">
        <v>2.2799999999999998</v>
      </c>
      <c r="AT37" s="91">
        <v>2.5000000000000001E-2</v>
      </c>
      <c r="AU37" s="91">
        <v>0.33</v>
      </c>
      <c r="AV37" s="91" t="s">
        <v>148</v>
      </c>
      <c r="AW37" s="97"/>
      <c r="AX37" s="256">
        <f>P+ER</f>
        <v>7.5950000000000006</v>
      </c>
      <c r="AY37" s="256">
        <f>P*0.375*MC</f>
        <v>0.93678750000000011</v>
      </c>
      <c r="AZ37" s="275">
        <f>IF(C37="",0,(0.5*(_ML1*LPM)+0.5*(_ML1*HB)+0.66*(P*PR)+0.66*(_ML2*RDM)+0.66*(E*ER))*VLOOKUP(BATT,'Look Ups'!$U$3:$V$4,2,0))</f>
        <v>14.742402</v>
      </c>
      <c r="BA37" s="98"/>
      <c r="BB37" s="99"/>
      <c r="BC37" s="83">
        <v>7.34</v>
      </c>
      <c r="BD37" s="91">
        <v>2.21</v>
      </c>
      <c r="BE37" s="91">
        <v>2.46</v>
      </c>
      <c r="BF37" s="91">
        <v>0.11</v>
      </c>
      <c r="BG37" s="91">
        <v>6.64</v>
      </c>
      <c r="BH37" s="91"/>
      <c r="BI37" s="91"/>
      <c r="BJ37" s="91">
        <v>0.24</v>
      </c>
      <c r="BK37" s="91">
        <v>-0.06</v>
      </c>
      <c r="BL37" s="97"/>
      <c r="BM37" s="275">
        <f>(0.5*LL*LPG)+(0.5*_LG1*HG)+(0.66*LL*LLRG)+(0.66*FG*FRG)+(IF((HG&gt;0),(0.66*_LG2*LRG),(0.66*_LG1*LRG)))</f>
        <v>9.0504079999999991</v>
      </c>
      <c r="BN37" s="282"/>
      <c r="BO37" s="283"/>
      <c r="BP37" s="284"/>
      <c r="BQ37" s="284"/>
      <c r="BR37" s="283"/>
      <c r="BS37" s="284"/>
      <c r="BT37" s="284"/>
      <c r="BU37" s="280">
        <f>(0.5*LLS*LPS)+(0.66*LLS*LLRS)+(0.66*LS*LRS)+(0.66*FS*FRS)</f>
        <v>0</v>
      </c>
      <c r="BV37" s="285"/>
      <c r="BW37" s="283"/>
      <c r="BX37" s="283"/>
      <c r="BY37" s="283"/>
      <c r="BZ37" s="283"/>
      <c r="CA37" s="283"/>
      <c r="CB37" s="283"/>
      <c r="CC37" s="275">
        <f>(0.5*LLD*LPD)+(0.66*LLD*LLRD)+(0.66*LCHD*LRD)+(0.66*FD*FRD)</f>
        <v>0</v>
      </c>
      <c r="CD37" s="98">
        <v>4.62</v>
      </c>
      <c r="CE37" s="91">
        <v>8.44</v>
      </c>
      <c r="CF37" s="91">
        <v>7.24</v>
      </c>
      <c r="CG37" s="91">
        <v>4.45</v>
      </c>
      <c r="CH37" s="266">
        <f>IF(SF&gt;0,SMG/SF*100,"")</f>
        <v>96.320346320346317</v>
      </c>
      <c r="CI37" s="283"/>
      <c r="CJ37" s="280">
        <f>SF*(_SL1+_SL2)/4+(SMG-SF/2)*(_SL1+_SL2)/3</f>
        <v>29.295466666666663</v>
      </c>
      <c r="CK37" s="83">
        <v>6.45</v>
      </c>
      <c r="CL37" s="91">
        <v>9.65</v>
      </c>
      <c r="CM37" s="91">
        <v>8.65</v>
      </c>
      <c r="CN37" s="91">
        <v>4.5199999999999996</v>
      </c>
      <c r="CO37" s="256">
        <f>IF(SCRF&gt;0,SCRMG/SCRF*100,"")</f>
        <v>70.077519379844958</v>
      </c>
      <c r="CP37" s="283"/>
      <c r="CQ37" s="256">
        <f>SCRF*(SCRL1+SCRL2)/4+(SCRMG-SCRF/2)*(SCRL1+SCRL2)/3</f>
        <v>37.408250000000002</v>
      </c>
      <c r="CR37" s="256" t="str">
        <f>IF(CO37&lt;'Look Ups'!$AC$4,"Yes","No")</f>
        <v>No</v>
      </c>
      <c r="CS37" s="267">
        <f>IF(CR37="Yes",MIN(150,('Look Ups'!$AC$4-PSCR)/('Look Ups'!$AC$4-'Look Ups'!$AC$3)*100),0)</f>
        <v>0</v>
      </c>
      <c r="CT37" s="83"/>
      <c r="CU37" s="91"/>
      <c r="CV37" s="91"/>
      <c r="CW37" s="91"/>
      <c r="CX37" s="256" t="str">
        <f>IF(USCRF&gt;0,USCRMG/USCRF*100,"")</f>
        <v/>
      </c>
      <c r="CY37" s="293">
        <f>IF(PUSCR&lt;'Look Ups'!$AC$4,MIN(150,('Look Ups'!$AC$4-PUSCR)/('Look Ups'!$AC$4-'Look Ups'!$AC$3)*100),0)</f>
        <v>0</v>
      </c>
      <c r="CZ37" s="275">
        <f>IF(PUSCR&lt;'Look Ups'!$AC$4,USCRF*(USCRL1+USCRL2)/4+(USCRMG-USCRF/2)*(USCRL1+USCRL2)/3,0)</f>
        <v>0</v>
      </c>
      <c r="DA37" s="294">
        <f>IF(ZVAL=1,1,IF(LPM&gt;0,0.64*((AM+MAM)/(E+(MC/2))^2)^0.3,0))</f>
        <v>1</v>
      </c>
      <c r="DB37" s="256">
        <f>0.65*((AM+MAM)*EFM)+0.35*((AM+MAM)*ZVAL)</f>
        <v>15.6791895</v>
      </c>
      <c r="DC37" s="256">
        <f>IF(ZVAL=1,1,IF(LPG&gt;0,0.72*(AG/(LPG^2))^0.3,0))</f>
        <v>1</v>
      </c>
      <c r="DD37" s="256">
        <f>AG*EFG</f>
        <v>9.0504079999999991</v>
      </c>
      <c r="DE37" s="256">
        <f>IF(AZ37&gt;0,'Look Ups'!$S$3,0)</f>
        <v>1</v>
      </c>
      <c r="DF37" s="256">
        <f>IF(LPS&gt;0,0.72*(AS/(LPS^2))^0.3,0)</f>
        <v>0</v>
      </c>
      <c r="DG37" s="256">
        <f>EFS*AS</f>
        <v>0</v>
      </c>
      <c r="DH37" s="256">
        <f>IF(LPD&gt;0,0.72*(AD/(LPD^2))^0.3,0)</f>
        <v>0</v>
      </c>
      <c r="DI37" s="280">
        <f>IF((AD-AG)&gt;0,0.3*(AD-AG)*EFD,0)</f>
        <v>0</v>
      </c>
      <c r="DJ37" s="295" t="str">
        <f>IF((SCRF=0),"-",IF(AND(MSASC&gt;AG,SCRMG&lt;(0.75*SCRF)),"valid","ERROR"))</f>
        <v>valid</v>
      </c>
      <c r="DK37" s="266" t="str">
        <f>IF((SF=0),"-",IF((SMG&lt;(0.75*SF)),"ERROR",IF(AND(MSASP&gt;MSASC,MSASP&gt;AG,MSASP&gt;=0.36*RSAM),"valid","Small")))</f>
        <v>Small</v>
      </c>
      <c r="DL37" s="267" t="str">
        <f>IF(C37="","",CONCATENATE("MG",IF(FLSCR="valid","Scr",""),IF(FLSPI="valid","SP","")))</f>
        <v>MGScr</v>
      </c>
      <c r="DM37" s="294">
        <f>RSAM+RSAG</f>
        <v>24.729597499999997</v>
      </c>
      <c r="DN37" s="256">
        <f>IF(MSASP&gt;0,'Look Ups'!$AI$4*(ZVAL*MSASP-RSAG),0)</f>
        <v>6.0735175999999997</v>
      </c>
      <c r="DO37" s="256">
        <f>IF(AND(MSASC&gt;0,(MSASC&gt;=0.36*RSAM)),('Look Ups'!$AI$3*(ZVAL*MSASC-RSAG)),(0))</f>
        <v>9.9252447000000004</v>
      </c>
      <c r="DP37" s="256">
        <f>IF(MSASP&gt;0,'Look Ups'!$AI$5*(ZVAL*MSASP-RSAG),0)</f>
        <v>5.6686164266666665</v>
      </c>
      <c r="DQ37" s="256">
        <f>IF(MSASC&gt;0,'Look Ups'!$AI$6*(MSASC-RSAG),0)</f>
        <v>1.9850489400000007</v>
      </c>
      <c r="DR37" s="280">
        <f>'Look Ups'!$AI$7*MAX(IF(MSAUSC&gt;0,EUSC/100*(MSAUSC-RSAG),0),IF(CR37="Yes",ELSC/100*(MSASC-RSAG),0))</f>
        <v>0</v>
      </c>
      <c r="DS37" s="280">
        <f>0.36*RSAM</f>
        <v>5.6445082199999996</v>
      </c>
      <c r="DT37" s="296">
        <f>_xlfn.IFS(SPC="MG",RAMG+DS37,SPC="MGScr",RAMG+RASCO,SPC="MGSp",RAMG+RASPO,SPC="MGScrSp",RAMG+RASPSC+RASCR)+RAUSC+RSAST+RSAD+RSAMZ+RSA2M</f>
        <v>34.654842199999997</v>
      </c>
      <c r="DU37" s="63"/>
    </row>
    <row r="38" spans="1:125" ht="15.6" customHeight="1" x14ac:dyDescent="0.3">
      <c r="A38" s="4"/>
      <c r="B38" s="64"/>
      <c r="C38" s="64" t="s">
        <v>242</v>
      </c>
      <c r="D38" s="101" t="s">
        <v>243</v>
      </c>
      <c r="E38" s="86" t="s">
        <v>1201</v>
      </c>
      <c r="F38" s="252">
        <f ca="1">IF(RW=0,0,ROUND(DLF*0.93*RL^LF*RSA^0.4/RW^0.325,3))</f>
        <v>0.91300000000000003</v>
      </c>
      <c r="G38" s="252" t="str">
        <f ca="1">IF(OR(FLSCR="ERROR",FLSPI="ERROR"),"No",IF(TODAY()-'Look Ups'!$D$4*365&gt;I38,"WP Applied","Yes"))</f>
        <v>Yes</v>
      </c>
      <c r="H38" s="253" t="str">
        <f>IF(SPC="","",CONCATENATE("Main-Genoa",IF(FLSCR="valid",IF(OR(CR38="Yes",MSAUSC&gt;0),"-Screacher (Upwind)","-Screacher"),""),IF(FLSPI="valid","-Spinnaker",""),IF(RSAMZ&gt;0,"-Mizzen",""),IF(RSA2M&gt;0,"-Second Main",""),IF(AS&gt;0,"-Staysail",""),IF(AD&gt;0,"-Drifter","")))</f>
        <v>Main-Genoa-Screacher-Spinnaker</v>
      </c>
      <c r="I38" s="1">
        <v>44476</v>
      </c>
      <c r="J38" s="1">
        <v>45567</v>
      </c>
      <c r="K38" s="87" t="s">
        <v>1134</v>
      </c>
      <c r="L38" s="87" t="s">
        <v>245</v>
      </c>
      <c r="M38" s="207"/>
      <c r="N38" s="97" t="s">
        <v>165</v>
      </c>
      <c r="O38" s="97"/>
      <c r="P38" s="102"/>
      <c r="Q38" s="90">
        <v>12.07</v>
      </c>
      <c r="R38" s="87"/>
      <c r="S38" s="256">
        <f>IF((LOAA&gt;LOA),0.025*LOAA,0.025*LOA)</f>
        <v>0.30175000000000002</v>
      </c>
      <c r="T38" s="91"/>
      <c r="U38" s="91"/>
      <c r="V38" s="258">
        <f>IF((_xlfn.SINGLE(LOAA)&gt;_xlfn.SINGLE(LOA)),_xlfn.SINGLE(LOAA),_xlfn.SINGLE(LOA)-_xlfn.SINGLE(FOC)-_xlfn.SINGLE(AOC))</f>
        <v>12.07</v>
      </c>
      <c r="W38" s="259">
        <f>IF(RL&gt;0,IF(RL&gt;'Look Ups'!Y$7,'Look Ups'!Y$8,('Look Ups'!Y$3*RL^3+'Look Ups'!Y$4*RL^2+'Look Ups'!Y$5*RL+'Look Ups'!Y$6)),0)</f>
        <v>0.3</v>
      </c>
      <c r="X38" s="92">
        <v>3355</v>
      </c>
      <c r="Y38" s="262">
        <f ca="1">IF(WDATE&lt;(TODAY()-'Look Ups'!$D$4*365),-WM*'Look Ups'!$D$5/100,0)</f>
        <v>0</v>
      </c>
      <c r="Z38" s="93"/>
      <c r="AA38" s="93"/>
      <c r="AB38" s="223"/>
      <c r="AC38" s="268">
        <f>WCD+NC*'Look Ups'!$AF$3</f>
        <v>0</v>
      </c>
      <c r="AD38" s="268">
        <f ca="1">IF(RL&lt;'Look Ups'!AM$3,'Look Ups'!AM$4,IF(RL&gt;'Look Ups'!AM$5,'Look Ups'!AM$6,(RL-'Look Ups'!AM$3)/('Look Ups'!AM$5-'Look Ups'!AM$3)*('Look Ups'!AM$6-'Look Ups'!AM$4)+'Look Ups'!AM$4))/100*WS</f>
        <v>351.3599999999999</v>
      </c>
      <c r="AE38" s="266">
        <f ca="1">WM+WP+WE</f>
        <v>3355</v>
      </c>
      <c r="AF38" s="267">
        <f ca="1">_xlfn.SINGLE(WS)+IF(_xlfn.SINGLE(TCW)&gt;=_xlfn.SINGLE(CWA),_xlfn.SINGLE(CWA),_xlfn.SINGLE(TCW))</f>
        <v>3355</v>
      </c>
      <c r="AG38" s="94" t="s">
        <v>145</v>
      </c>
      <c r="AH38" s="95" t="s">
        <v>146</v>
      </c>
      <c r="AI38" s="96" t="s">
        <v>147</v>
      </c>
      <c r="AJ38" s="218"/>
      <c r="AK38" s="273">
        <f>IF(C38="",0,VLOOKUP(AG38,'Look Ups'!$F$3:$G$6,2,0)*VLOOKUP(AH38,'Look Ups'!$I$3:$J$5,2,0)*VLOOKUP(AI38,'Look Ups'!$L$3:$M$7,2,0)*IF(AJ38="",1,VLOOKUP(AJ38,'Look Ups'!$O$3:$P$4,2,0)))</f>
        <v>1</v>
      </c>
      <c r="AL38" s="83">
        <v>15.54</v>
      </c>
      <c r="AM38" s="91">
        <v>15.23</v>
      </c>
      <c r="AN38" s="91">
        <v>4.6399999999999997</v>
      </c>
      <c r="AO38" s="91">
        <v>1.68</v>
      </c>
      <c r="AP38" s="91">
        <v>0.32</v>
      </c>
      <c r="AQ38" s="91">
        <v>15.53</v>
      </c>
      <c r="AR38" s="91">
        <v>0.14000000000000001</v>
      </c>
      <c r="AS38" s="91">
        <v>4.68</v>
      </c>
      <c r="AT38" s="91">
        <v>0.03</v>
      </c>
      <c r="AU38" s="91">
        <v>0.62</v>
      </c>
      <c r="AV38" s="91" t="s">
        <v>148</v>
      </c>
      <c r="AW38" s="97"/>
      <c r="AX38" s="256">
        <f>P+ER</f>
        <v>15.559999999999999</v>
      </c>
      <c r="AY38" s="256">
        <f>P*0.375*MC</f>
        <v>3.6107249999999995</v>
      </c>
      <c r="AZ38" s="275">
        <f>IF(C38="",0,(0.5*(_ML1*LPM)+0.5*(_ML1*HB)+0.66*(P*PR)+0.66*(_ML2*RDM)+0.66*(E*ER))*VLOOKUP(BATT,'Look Ups'!$U$3:$V$4,2,0))</f>
        <v>53.850611999999998</v>
      </c>
      <c r="BA38" s="98"/>
      <c r="BB38" s="99"/>
      <c r="BC38" s="83">
        <v>14.33</v>
      </c>
      <c r="BD38" s="91">
        <v>4.0199999999999996</v>
      </c>
      <c r="BE38" s="91">
        <v>4.3499999999999996</v>
      </c>
      <c r="BF38" s="91">
        <v>0.08</v>
      </c>
      <c r="BG38" s="91">
        <v>13.28</v>
      </c>
      <c r="BH38" s="91"/>
      <c r="BI38" s="91"/>
      <c r="BJ38" s="91">
        <v>-0.28999999999999998</v>
      </c>
      <c r="BK38" s="91">
        <v>0</v>
      </c>
      <c r="BL38" s="87"/>
      <c r="BM38" s="275">
        <f>(0.5*LL*LPG)+(0.5*_LG1*HG)+(0.66*LL*LLRG)+(0.66*FG*FRG)+(IF((HG&gt;0),(0.66*_LG2*LRG),(0.66*_LG1*LRG)))</f>
        <v>26.491187999999994</v>
      </c>
      <c r="BN38" s="282"/>
      <c r="BO38" s="283"/>
      <c r="BP38" s="284"/>
      <c r="BQ38" s="284"/>
      <c r="BR38" s="283"/>
      <c r="BS38" s="284"/>
      <c r="BT38" s="284"/>
      <c r="BU38" s="280">
        <f>(0.5*LLS*LPS)+(0.66*LLS*LLRS)+(0.66*LS*LRS)+(0.66*FS*FRS)</f>
        <v>0</v>
      </c>
      <c r="BV38" s="285"/>
      <c r="BW38" s="283"/>
      <c r="BX38" s="283"/>
      <c r="BY38" s="283"/>
      <c r="BZ38" s="283"/>
      <c r="CA38" s="283"/>
      <c r="CB38" s="283"/>
      <c r="CC38" s="275">
        <f>(0.5*LLD*LPD)+(0.66*LLD*LLRD)+(0.66*LCHD*LRD)+(0.66*FD*FRD)</f>
        <v>0</v>
      </c>
      <c r="CD38" s="98">
        <v>8.94</v>
      </c>
      <c r="CE38" s="91">
        <v>17.940000000000001</v>
      </c>
      <c r="CF38" s="91">
        <v>15.11</v>
      </c>
      <c r="CG38" s="91">
        <v>7.6</v>
      </c>
      <c r="CH38" s="266">
        <f>IF(SF&gt;0,SMG/SF*100,"")</f>
        <v>85.011185682326612</v>
      </c>
      <c r="CI38" s="286"/>
      <c r="CJ38" s="280">
        <f>SF*(_SL1+_SL2)/4+(SMG-SF/2)*(_SL1+_SL2)/3</f>
        <v>108.34891666666667</v>
      </c>
      <c r="CK38" s="83">
        <v>5.7</v>
      </c>
      <c r="CL38" s="91">
        <v>15.71</v>
      </c>
      <c r="CM38" s="91">
        <v>14.12</v>
      </c>
      <c r="CN38" s="91">
        <v>2.97</v>
      </c>
      <c r="CO38" s="256">
        <f>IF(SCRF&gt;0,SCRMG/SCRF*100,"")</f>
        <v>52.10526315789474</v>
      </c>
      <c r="CP38" s="283"/>
      <c r="CQ38" s="256">
        <f>SCRF*(SCRL1+SCRL2)/4+(SCRMG-SCRF/2)*(SCRL1+SCRL2)/3</f>
        <v>43.700950000000006</v>
      </c>
      <c r="CR38" s="256" t="str">
        <f>IF(CO38&lt;'Look Ups'!$AC$4,"Yes","No")</f>
        <v>No</v>
      </c>
      <c r="CS38" s="267">
        <f>IF(CR38="Yes",MIN(150,('Look Ups'!$AC$4-PSCR)/('Look Ups'!$AC$4-'Look Ups'!$AC$3)*100),0)</f>
        <v>0</v>
      </c>
      <c r="CT38" s="83"/>
      <c r="CU38" s="91"/>
      <c r="CV38" s="91"/>
      <c r="CW38" s="91"/>
      <c r="CX38" s="256" t="str">
        <f>IF(USCRF&gt;0,USCRMG/USCRF*100,"")</f>
        <v/>
      </c>
      <c r="CY38" s="293">
        <f>IF(PUSCR&lt;'Look Ups'!$AC$4,MIN(150,('Look Ups'!$AC$4-PUSCR)/('Look Ups'!$AC$4-'Look Ups'!$AC$3)*100),0)</f>
        <v>0</v>
      </c>
      <c r="CZ38" s="275">
        <f>IF(PUSCR&lt;'Look Ups'!$AC$4,USCRF*(USCRL1+USCRL2)/4+(USCRMG-USCRF/2)*(USCRL1+USCRL2)/3,0)</f>
        <v>0</v>
      </c>
      <c r="DA38" s="294">
        <f>IF(ZVAL=1,1,IF(LPM&gt;0,0.64*((AM+MAM)/(E+(MC/2))^2)^0.3,0))</f>
        <v>1</v>
      </c>
      <c r="DB38" s="256">
        <f>0.65*((AM+MAM)*EFM)+0.35*((AM+MAM)*ZVAL)</f>
        <v>57.461337</v>
      </c>
      <c r="DC38" s="256">
        <f>IF(ZVAL=1,1,IF(LPG&gt;0,0.72*(AG/(LPG^2))^0.3,0))</f>
        <v>1</v>
      </c>
      <c r="DD38" s="256">
        <f>AG*EFG</f>
        <v>26.491187999999994</v>
      </c>
      <c r="DE38" s="256">
        <f>IF(AZ38&gt;0,'Look Ups'!$S$3,0)</f>
        <v>1</v>
      </c>
      <c r="DF38" s="256">
        <f>IF(LPS&gt;0,0.72*(AS/(LPS^2))^0.3,0)</f>
        <v>0</v>
      </c>
      <c r="DG38" s="256">
        <f>EFS*AS</f>
        <v>0</v>
      </c>
      <c r="DH38" s="256">
        <f>IF(LPD&gt;0,0.72*(AD/(LPD^2))^0.3,0)</f>
        <v>0</v>
      </c>
      <c r="DI38" s="280">
        <f>IF((AD-AG)&gt;0,0.3*(AD-AG)*EFD,0)</f>
        <v>0</v>
      </c>
      <c r="DJ38" s="295" t="str">
        <f>IF((SCRF=0),"-",IF(AND(MSASC&gt;AG,SCRMG&lt;(0.75*SCRF)),"valid","ERROR"))</f>
        <v>valid</v>
      </c>
      <c r="DK38" s="266" t="str">
        <f>IF((SF=0),"-",IF((SMG&lt;(0.75*SF)),"ERROR",IF(AND(MSASP&gt;MSASC,MSASP&gt;AG,MSASP&gt;=0.36*RSAM),"valid","Small")))</f>
        <v>valid</v>
      </c>
      <c r="DL38" s="267" t="str">
        <f>IF(C38="","",CONCATENATE("MG",IF(FLSCR="valid","Scr",""),IF(FLSPI="valid","SP","")))</f>
        <v>MGScrSP</v>
      </c>
      <c r="DM38" s="294">
        <f>RSAM+RSAG</f>
        <v>83.952524999999994</v>
      </c>
      <c r="DN38" s="256">
        <f>IF(MSASP&gt;0,'Look Ups'!$AI$4*(ZVAL*MSASP-RSAG),0)</f>
        <v>24.557318600000002</v>
      </c>
      <c r="DO38" s="256">
        <f>IF(AND(MSASC&gt;0,(MSASC&gt;=0.36*RSAM)),('Look Ups'!$AI$3*(ZVAL*MSASC-RSAG)),(0))</f>
        <v>6.0234167000000038</v>
      </c>
      <c r="DP38" s="256">
        <f>IF(MSASP&gt;0,'Look Ups'!$AI$5*(ZVAL*MSASP-RSAG),0)</f>
        <v>22.920164026666672</v>
      </c>
      <c r="DQ38" s="256">
        <f>IF(MSASC&gt;0,'Look Ups'!$AI$6*(MSASC-RSAG),0)</f>
        <v>1.204683340000001</v>
      </c>
      <c r="DR38" s="280">
        <f>'Look Ups'!$AI$7*MAX(IF(MSAUSC&gt;0,EUSC/100*(MSAUSC-RSAG),0),IF(CR38="Yes",ELSC/100*(MSASC-RSAG),0))</f>
        <v>0</v>
      </c>
      <c r="DS38" s="280">
        <f>0.36*RSAM</f>
        <v>20.68608132</v>
      </c>
      <c r="DT38" s="296">
        <f>_xlfn.IFS(SPC="MG",RAMG+DS38,SPC="MGScr",RAMG+RASCO,SPC="MGSp",RAMG+RASPO,SPC="MGScrSp",RAMG+RASPSC+RASCR)+RAUSC+RSAST+RSAD+RSAMZ+RSA2M</f>
        <v>108.07737236666667</v>
      </c>
      <c r="DU38" s="63"/>
    </row>
    <row r="39" spans="1:125" ht="15.6" customHeight="1" x14ac:dyDescent="0.3">
      <c r="A39" s="4"/>
      <c r="B39" s="64"/>
      <c r="C39" s="64" t="s">
        <v>246</v>
      </c>
      <c r="D39" s="85" t="s">
        <v>243</v>
      </c>
      <c r="E39" s="86" t="s">
        <v>247</v>
      </c>
      <c r="F39" s="252">
        <f ca="1">IF(RW=0,0,ROUND(DLF*0.93*RL^LF*RSA^0.4/RW^0.325,3))</f>
        <v>0.88600000000000001</v>
      </c>
      <c r="G39" s="252" t="str">
        <f ca="1">IF(OR(FLSCR="ERROR",FLSPI="ERROR"),"No",IF(TODAY()-'Look Ups'!$D$4*365&gt;I39,"WP Applied","Yes"))</f>
        <v>Yes</v>
      </c>
      <c r="H39" s="253" t="str">
        <f>IF(SPC="","",CONCATENATE("Main-Genoa",IF(FLSCR="valid",IF(OR(CR39="Yes",MSAUSC&gt;0),"-Screacher (Upwind)","-Screacher"),""),IF(FLSPI="valid","-Spinnaker",""),IF(RSAMZ&gt;0,"-Mizzen",""),IF(RSA2M&gt;0,"-Second Main",""),IF(AS&gt;0,"-Staysail",""),IF(AD&gt;0,"-Drifter","")))</f>
        <v>Main-Genoa-Screacher-Spinnaker</v>
      </c>
      <c r="I39" s="1">
        <v>43551</v>
      </c>
      <c r="J39" s="1">
        <v>43551</v>
      </c>
      <c r="K39" s="87" t="s">
        <v>248</v>
      </c>
      <c r="L39" s="87" t="s">
        <v>142</v>
      </c>
      <c r="M39" s="207"/>
      <c r="N39" s="97" t="s">
        <v>143</v>
      </c>
      <c r="O39" s="97" t="s">
        <v>154</v>
      </c>
      <c r="P39" s="100"/>
      <c r="Q39" s="90">
        <v>12.1</v>
      </c>
      <c r="R39" s="87"/>
      <c r="S39" s="256">
        <f>IF((LOAA&gt;LOA),0.025*LOAA,0.025*LOA)</f>
        <v>0.30249999999999999</v>
      </c>
      <c r="T39" s="91">
        <v>0</v>
      </c>
      <c r="U39" s="91">
        <v>0</v>
      </c>
      <c r="V39" s="258">
        <f>IF((_xlfn.SINGLE(LOAA)&gt;_xlfn.SINGLE(LOA)),_xlfn.SINGLE(LOAA),_xlfn.SINGLE(LOA)-_xlfn.SINGLE(FOC)-_xlfn.SINGLE(AOC))</f>
        <v>12.1</v>
      </c>
      <c r="W39" s="259">
        <f>IF(RL&gt;0,IF(RL&gt;'Look Ups'!Y$7,'Look Ups'!Y$8,('Look Ups'!Y$3*RL^3+'Look Ups'!Y$4*RL^2+'Look Ups'!Y$5*RL+'Look Ups'!Y$6)),0)</f>
        <v>0.3</v>
      </c>
      <c r="X39" s="92">
        <f>3718-12+21</f>
        <v>3727</v>
      </c>
      <c r="Y39" s="262">
        <f ca="1">IF(WDATE&lt;(TODAY()-'Look Ups'!$D$4*365),-WM*'Look Ups'!$D$5/100,0)</f>
        <v>0</v>
      </c>
      <c r="Z39" s="93"/>
      <c r="AA39" s="75"/>
      <c r="AB39" s="75"/>
      <c r="AC39" s="268">
        <f>WCD+NC*'Look Ups'!$AF$3</f>
        <v>0</v>
      </c>
      <c r="AD39" s="268">
        <f ca="1">IF(RL&lt;'Look Ups'!AM$3,'Look Ups'!AM$4,IF(RL&gt;'Look Ups'!AM$5,'Look Ups'!AM$6,(RL-'Look Ups'!AM$3)/('Look Ups'!AM$5-'Look Ups'!AM$3)*('Look Ups'!AM$6-'Look Ups'!AM$4)+'Look Ups'!AM$4))/100*WS</f>
        <v>386.2527272727271</v>
      </c>
      <c r="AE39" s="266">
        <f ca="1">WM+WP+WE</f>
        <v>3727</v>
      </c>
      <c r="AF39" s="267">
        <f ca="1">_xlfn.SINGLE(WS)+IF(_xlfn.SINGLE(TCW)&gt;=_xlfn.SINGLE(CWA),_xlfn.SINGLE(CWA),_xlfn.SINGLE(TCW))</f>
        <v>3727</v>
      </c>
      <c r="AG39" s="94" t="s">
        <v>145</v>
      </c>
      <c r="AH39" s="95" t="s">
        <v>146</v>
      </c>
      <c r="AI39" s="96" t="s">
        <v>147</v>
      </c>
      <c r="AJ39" s="218"/>
      <c r="AK39" s="273">
        <f>IF(C39="",0,VLOOKUP(AG39,'Look Ups'!$F$3:$G$6,2,0)*VLOOKUP(AH39,'Look Ups'!$I$3:$J$5,2,0)*VLOOKUP(AI39,'Look Ups'!$L$3:$M$7,2,0)*IF(AJ39="",1,VLOOKUP(AJ39,'Look Ups'!$O$3:$P$4,2,0)))</f>
        <v>1</v>
      </c>
      <c r="AL39" s="83">
        <v>15.15</v>
      </c>
      <c r="AM39" s="91">
        <v>14.91</v>
      </c>
      <c r="AN39" s="91">
        <v>4.53</v>
      </c>
      <c r="AO39" s="91">
        <v>1.81</v>
      </c>
      <c r="AP39" s="91">
        <v>0.38</v>
      </c>
      <c r="AQ39" s="91">
        <v>15.02</v>
      </c>
      <c r="AR39" s="91">
        <v>0.13</v>
      </c>
      <c r="AS39" s="91">
        <v>4.62</v>
      </c>
      <c r="AT39" s="91">
        <v>0.15</v>
      </c>
      <c r="AU39" s="91">
        <v>0.63</v>
      </c>
      <c r="AV39" s="91" t="s">
        <v>148</v>
      </c>
      <c r="AW39" s="97"/>
      <c r="AX39" s="256">
        <f>P+ER</f>
        <v>15.17</v>
      </c>
      <c r="AY39" s="256">
        <f>P*0.375*MC</f>
        <v>3.5484750000000003</v>
      </c>
      <c r="AZ39" s="275">
        <f>IF(C39="",0,(0.5*(_ML1*LPM)+0.5*(_ML1*HB)+0.66*(P*PR)+0.66*(_ML2*RDM)+0.66*(E*ER))*VLOOKUP(BATT,'Look Ups'!$U$3:$V$4,2,0))</f>
        <v>53.511024000000006</v>
      </c>
      <c r="BA39" s="98"/>
      <c r="BB39" s="99"/>
      <c r="BC39" s="83">
        <v>14.3</v>
      </c>
      <c r="BD39" s="91">
        <v>3.93</v>
      </c>
      <c r="BE39" s="91">
        <v>4.2300000000000004</v>
      </c>
      <c r="BF39" s="91">
        <v>0.16</v>
      </c>
      <c r="BG39" s="91">
        <v>13.28</v>
      </c>
      <c r="BH39" s="91">
        <v>13.26</v>
      </c>
      <c r="BI39" s="91">
        <v>0.08</v>
      </c>
      <c r="BJ39" s="91">
        <v>-0.21</v>
      </c>
      <c r="BK39" s="91">
        <v>0</v>
      </c>
      <c r="BL39" s="97"/>
      <c r="BM39" s="275">
        <f>(0.5*LL*LPG)+(0.5*_LG1*HG)+(0.66*LL*LLRG)+(0.66*FG*FRG)+(IF((HG&gt;0),(0.66*_LG2*LRG),(0.66*_LG1*LRG)))</f>
        <v>27.239552000000003</v>
      </c>
      <c r="BN39" s="282"/>
      <c r="BO39" s="283"/>
      <c r="BP39" s="284"/>
      <c r="BQ39" s="284"/>
      <c r="BR39" s="283"/>
      <c r="BS39" s="284"/>
      <c r="BT39" s="284"/>
      <c r="BU39" s="280">
        <f>(0.5*LLS*LPS)+(0.66*LLS*LLRS)+(0.66*LS*LRS)+(0.66*FS*FRS)</f>
        <v>0</v>
      </c>
      <c r="BV39" s="285"/>
      <c r="BW39" s="283"/>
      <c r="BX39" s="283"/>
      <c r="BY39" s="283"/>
      <c r="BZ39" s="283"/>
      <c r="CA39" s="283"/>
      <c r="CB39" s="283"/>
      <c r="CC39" s="275">
        <f>(0.5*LLD*LPD)+(0.66*LLD*LLRD)+(0.66*LCHD*LRD)+(0.66*FD*FRD)</f>
        <v>0</v>
      </c>
      <c r="CD39" s="98">
        <v>8.57</v>
      </c>
      <c r="CE39" s="91">
        <v>17.440000000000001</v>
      </c>
      <c r="CF39" s="91">
        <v>15.03</v>
      </c>
      <c r="CG39" s="91">
        <v>7.68</v>
      </c>
      <c r="CH39" s="266">
        <f>IF(SF&gt;0,SMG/SF*100,"")</f>
        <v>89.614935822637094</v>
      </c>
      <c r="CI39" s="283"/>
      <c r="CJ39" s="280">
        <f>SF*(_SL1+_SL2)/4+(SMG-SF/2)*(_SL1+_SL2)/3</f>
        <v>106.31219166666665</v>
      </c>
      <c r="CK39" s="83">
        <v>7.77</v>
      </c>
      <c r="CL39" s="91">
        <v>16</v>
      </c>
      <c r="CM39" s="91">
        <v>13.87</v>
      </c>
      <c r="CN39" s="91">
        <v>4.42</v>
      </c>
      <c r="CO39" s="256">
        <f>IF(SCRF&gt;0,SCRMG/SCRF*100,"")</f>
        <v>56.88545688545689</v>
      </c>
      <c r="CP39" s="283"/>
      <c r="CQ39" s="256">
        <f>SCRF*(SCRL1+SCRL2)/4+(SCRMG-SCRF/2)*(SCRL1+SCRL2)/3</f>
        <v>63.349291666666659</v>
      </c>
      <c r="CR39" s="256" t="str">
        <f>IF(CO39&lt;'Look Ups'!$AC$4,"Yes","No")</f>
        <v>No</v>
      </c>
      <c r="CS39" s="267">
        <f>IF(CR39="Yes",MIN(150,('Look Ups'!$AC$4-PSCR)/('Look Ups'!$AC$4-'Look Ups'!$AC$3)*100),0)</f>
        <v>0</v>
      </c>
      <c r="CT39" s="83"/>
      <c r="CU39" s="91"/>
      <c r="CV39" s="91"/>
      <c r="CW39" s="91"/>
      <c r="CX39" s="256" t="str">
        <f>IF(USCRF&gt;0,USCRMG/USCRF*100,"")</f>
        <v/>
      </c>
      <c r="CY39" s="293">
        <f>IF(PUSCR&lt;'Look Ups'!$AC$4,MIN(150,('Look Ups'!$AC$4-PUSCR)/('Look Ups'!$AC$4-'Look Ups'!$AC$3)*100),0)</f>
        <v>0</v>
      </c>
      <c r="CZ39" s="275">
        <f>IF(PUSCR&lt;'Look Ups'!$AC$4,USCRF*(USCRL1+USCRL2)/4+(USCRMG-USCRF/2)*(USCRL1+USCRL2)/3,0)</f>
        <v>0</v>
      </c>
      <c r="DA39" s="294">
        <f>IF(ZVAL=1,1,IF(LPM&gt;0,0.64*((AM+MAM)/(E+(MC/2))^2)^0.3,0))</f>
        <v>1</v>
      </c>
      <c r="DB39" s="256">
        <f>0.65*((AM+MAM)*EFM)+0.35*((AM+MAM)*ZVAL)</f>
        <v>57.059499000000002</v>
      </c>
      <c r="DC39" s="256">
        <f>IF(ZVAL=1,1,IF(LPG&gt;0,0.72*(AG/(LPG^2))^0.3,0))</f>
        <v>1</v>
      </c>
      <c r="DD39" s="256">
        <f>AG*EFG</f>
        <v>27.239552000000003</v>
      </c>
      <c r="DE39" s="256">
        <f>IF(AZ39&gt;0,'Look Ups'!$S$3,0)</f>
        <v>1</v>
      </c>
      <c r="DF39" s="256">
        <f>IF(LPS&gt;0,0.72*(AS/(LPS^2))^0.3,0)</f>
        <v>0</v>
      </c>
      <c r="DG39" s="256">
        <f>EFS*AS</f>
        <v>0</v>
      </c>
      <c r="DH39" s="256">
        <f>IF(LPD&gt;0,0.72*(AD/(LPD^2))^0.3,0)</f>
        <v>0</v>
      </c>
      <c r="DI39" s="280">
        <f>IF((AD-AG)&gt;0,0.3*(AD-AG)*EFD,0)</f>
        <v>0</v>
      </c>
      <c r="DJ39" s="295" t="str">
        <f>IF((SCRF=0),"-",IF(AND(MSASC&gt;AG,SCRMG&lt;(0.75*SCRF)),"valid","ERROR"))</f>
        <v>valid</v>
      </c>
      <c r="DK39" s="266" t="str">
        <f>IF((SF=0),"-",IF((SMG&lt;(0.75*SF)),"ERROR",IF(AND(MSASP&gt;MSASC,MSASP&gt;AG,MSASP&gt;=0.36*RSAM),"valid","Small")))</f>
        <v>valid</v>
      </c>
      <c r="DL39" s="267" t="str">
        <f>IF(C39="","",CONCATENATE("MG",IF(FLSCR="valid","Scr",""),IF(FLSPI="valid","SP","")))</f>
        <v>MGScrSP</v>
      </c>
      <c r="DM39" s="294">
        <f>RSAM+RSAG</f>
        <v>84.299051000000006</v>
      </c>
      <c r="DN39" s="256">
        <f>IF(MSASP&gt;0,'Look Ups'!$AI$4*(ZVAL*MSASP-RSAG),0)</f>
        <v>23.721791899999992</v>
      </c>
      <c r="DO39" s="256">
        <f>IF(AND(MSASC&gt;0,(MSASC&gt;=0.36*RSAM)),('Look Ups'!$AI$3*(ZVAL*MSASC-RSAG)),(0))</f>
        <v>12.638408883333328</v>
      </c>
      <c r="DP39" s="256">
        <f>IF(MSASP&gt;0,'Look Ups'!$AI$5*(ZVAL*MSASP-RSAG),0)</f>
        <v>22.140339106666662</v>
      </c>
      <c r="DQ39" s="256">
        <f>IF(MSASC&gt;0,'Look Ups'!$AI$6*(MSASC-RSAG),0)</f>
        <v>2.5276817766666659</v>
      </c>
      <c r="DR39" s="280">
        <f>'Look Ups'!$AI$7*MAX(IF(MSAUSC&gt;0,EUSC/100*(MSAUSC-RSAG),0),IF(CR39="Yes",ELSC/100*(MSASC-RSAG),0))</f>
        <v>0</v>
      </c>
      <c r="DS39" s="280">
        <f>0.36*RSAM</f>
        <v>20.541419640000001</v>
      </c>
      <c r="DT39" s="296">
        <f>_xlfn.IFS(SPC="MG",RAMG+DS39,SPC="MGScr",RAMG+RASCO,SPC="MGSp",RAMG+RASPO,SPC="MGScrSp",RAMG+RASPSC+RASCR)+RAUSC+RSAST+RSAD+RSAMZ+RSA2M</f>
        <v>108.96707188333333</v>
      </c>
      <c r="DU39" s="63"/>
    </row>
    <row r="40" spans="1:125" ht="15.6" customHeight="1" x14ac:dyDescent="0.3">
      <c r="A40" s="4"/>
      <c r="B40" s="84"/>
      <c r="C40" s="64" t="s">
        <v>249</v>
      </c>
      <c r="D40" s="85" t="s">
        <v>220</v>
      </c>
      <c r="E40" s="86" t="s">
        <v>250</v>
      </c>
      <c r="F40" s="252">
        <f ca="1">IF(RW=0,0,ROUND(DLF*0.93*RL^LF*RSA^0.4/RW^0.325,3))</f>
        <v>1.0569999999999999</v>
      </c>
      <c r="G40" s="252" t="str">
        <f ca="1">IF(OR(FLSCR="ERROR",FLSPI="ERROR"),"No",IF(TODAY()-'Look Ups'!$D$4*365&gt;I40,"WP Applied","Yes"))</f>
        <v>Yes</v>
      </c>
      <c r="H40" s="253" t="str">
        <f>IF(SPC="","",CONCATENATE("Main-Genoa",IF(FLSCR="valid",IF(OR(CR40="Yes",MSAUSC&gt;0),"-Screacher (Upwind)","-Screacher"),""),IF(FLSPI="valid","-Spinnaker",""),IF(RSAMZ&gt;0,"-Mizzen",""),IF(RSA2M&gt;0,"-Second Main",""),IF(AS&gt;0,"-Staysail",""),IF(AD&gt;0,"-Drifter","")))</f>
        <v>Main-Genoa-Screacher (Upwind)</v>
      </c>
      <c r="I40" s="1">
        <v>45311</v>
      </c>
      <c r="J40" s="1">
        <v>45314</v>
      </c>
      <c r="K40" s="87" t="s">
        <v>222</v>
      </c>
      <c r="L40" s="87" t="s">
        <v>176</v>
      </c>
      <c r="M40" s="207"/>
      <c r="N40" s="97" t="s">
        <v>143</v>
      </c>
      <c r="O40" s="97" t="s">
        <v>154</v>
      </c>
      <c r="P40" s="100"/>
      <c r="Q40" s="90">
        <v>10.02</v>
      </c>
      <c r="R40" s="87"/>
      <c r="S40" s="256">
        <f>IF((LOAA&gt;LOA),0.025*LOAA,0.025*LOA)</f>
        <v>0.2505</v>
      </c>
      <c r="T40" s="91">
        <v>0</v>
      </c>
      <c r="U40" s="91">
        <v>0</v>
      </c>
      <c r="V40" s="258">
        <f>IF((_xlfn.SINGLE(LOAA)&gt;_xlfn.SINGLE(LOA)),_xlfn.SINGLE(LOAA),_xlfn.SINGLE(LOA)-_xlfn.SINGLE(FOC)-_xlfn.SINGLE(AOC))</f>
        <v>10.02</v>
      </c>
      <c r="W40" s="259">
        <f>IF(RL&gt;0,IF(RL&gt;'Look Ups'!Y$7,'Look Ups'!Y$8,('Look Ups'!Y$3*RL^3+'Look Ups'!Y$4*RL^2+'Look Ups'!Y$5*RL+'Look Ups'!Y$6)),0)</f>
        <v>0.29852783626400003</v>
      </c>
      <c r="X40" s="92">
        <v>1560</v>
      </c>
      <c r="Y40" s="262">
        <f ca="1">IF(WDATE&lt;(TODAY()-'Look Ups'!$D$4*365),-WM*'Look Ups'!$D$5/100,0)</f>
        <v>0</v>
      </c>
      <c r="Z40" s="93"/>
      <c r="AA40" s="93"/>
      <c r="AB40" s="75"/>
      <c r="AC40" s="268">
        <f>WCD+NC*'Look Ups'!$AF$3</f>
        <v>0</v>
      </c>
      <c r="AD40" s="268">
        <f ca="1">IF(RL&lt;'Look Ups'!AM$3,'Look Ups'!AM$4,IF(RL&gt;'Look Ups'!AM$5,'Look Ups'!AM$6,(RL-'Look Ups'!AM$3)/('Look Ups'!AM$5-'Look Ups'!AM$3)*('Look Ups'!AM$6-'Look Ups'!AM$4)+'Look Ups'!AM$4))/100*WS</f>
        <v>279.66545454545462</v>
      </c>
      <c r="AE40" s="266">
        <f ca="1">WM+WP+WE</f>
        <v>1560</v>
      </c>
      <c r="AF40" s="267">
        <f ca="1">_xlfn.SINGLE(WS)+IF(_xlfn.SINGLE(TCW)&gt;=_xlfn.SINGLE(CWA),_xlfn.SINGLE(CWA),_xlfn.SINGLE(TCW))</f>
        <v>1560</v>
      </c>
      <c r="AG40" s="94" t="s">
        <v>145</v>
      </c>
      <c r="AH40" s="95" t="s">
        <v>309</v>
      </c>
      <c r="AI40" s="96" t="s">
        <v>147</v>
      </c>
      <c r="AJ40" s="218"/>
      <c r="AK40" s="273">
        <f>IF(C40="",0,VLOOKUP(AG40,'Look Ups'!$F$3:$G$6,2,0)*VLOOKUP(AH40,'Look Ups'!$I$3:$J$5,2,0)*VLOOKUP(AI40,'Look Ups'!$L$3:$M$7,2,0)*IF(AJ40="",1,VLOOKUP(AJ40,'Look Ups'!$O$3:$P$4,2,0)))</f>
        <v>1</v>
      </c>
      <c r="AL40" s="83">
        <v>14.96</v>
      </c>
      <c r="AM40" s="91">
        <v>14.7</v>
      </c>
      <c r="AN40" s="91">
        <v>4.1749999999999998</v>
      </c>
      <c r="AO40" s="91">
        <v>1.4550000000000001</v>
      </c>
      <c r="AP40" s="91">
        <v>0.22</v>
      </c>
      <c r="AQ40" s="91">
        <v>14.33</v>
      </c>
      <c r="AR40" s="91">
        <v>0.08</v>
      </c>
      <c r="AS40" s="91">
        <v>4.37</v>
      </c>
      <c r="AT40" s="91">
        <v>0.03</v>
      </c>
      <c r="AU40" s="91">
        <v>0.63500000000000001</v>
      </c>
      <c r="AV40" s="91" t="s">
        <v>148</v>
      </c>
      <c r="AW40" s="97" t="s">
        <v>251</v>
      </c>
      <c r="AX40" s="256">
        <f>P+ER</f>
        <v>14.36</v>
      </c>
      <c r="AY40" s="256">
        <f>P*0.375*MC</f>
        <v>3.4123312500000003</v>
      </c>
      <c r="AZ40" s="275">
        <f>IF(C40="",0,(0.5*(_ML1*LPM)+0.5*(_ML1*HB)+0.66*(P*PR)+0.66*(_ML2*RDM)+0.66*(E*ER))*VLOOKUP(BATT,'Look Ups'!$U$3:$V$4,2,0))</f>
        <v>45.08999</v>
      </c>
      <c r="BA40" s="98"/>
      <c r="BB40" s="99"/>
      <c r="BC40" s="83">
        <v>12.67</v>
      </c>
      <c r="BD40" s="91">
        <v>3.4</v>
      </c>
      <c r="BE40" s="91">
        <v>3.77</v>
      </c>
      <c r="BF40" s="91">
        <v>1.7000000000000001E-2</v>
      </c>
      <c r="BG40" s="91">
        <v>11.45</v>
      </c>
      <c r="BH40" s="91"/>
      <c r="BI40" s="91"/>
      <c r="BJ40" s="91">
        <v>2.1000000000000001E-2</v>
      </c>
      <c r="BK40" s="91">
        <v>8.9999999999999993E-3</v>
      </c>
      <c r="BL40" s="97" t="s">
        <v>252</v>
      </c>
      <c r="BM40" s="275">
        <f>(0.5*LL*LPG)+(0.5*_LG1*HG)+(0.66*LL*LLRG)+(0.66*FG*FRG)+(IF((HG&gt;0),(0.66*_LG2*LRG),(0.66*_LG1*LRG)))</f>
        <v>21.8152562</v>
      </c>
      <c r="BN40" s="282"/>
      <c r="BO40" s="283"/>
      <c r="BP40" s="284"/>
      <c r="BQ40" s="284"/>
      <c r="BR40" s="283"/>
      <c r="BS40" s="284"/>
      <c r="BT40" s="284"/>
      <c r="BU40" s="280">
        <f>(0.5*LLS*LPS)+(0.66*LLS*LLRS)+(0.66*LS*LRS)+(0.66*FS*FRS)</f>
        <v>0</v>
      </c>
      <c r="BV40" s="285"/>
      <c r="BW40" s="283"/>
      <c r="BX40" s="283"/>
      <c r="BY40" s="283"/>
      <c r="BZ40" s="283"/>
      <c r="CA40" s="283"/>
      <c r="CB40" s="283"/>
      <c r="CC40" s="275">
        <f>(0.5*LLD*LPD)+(0.66*LLD*LLRD)+(0.66*LCHD*LRD)+(0.66*FD*FRD)</f>
        <v>0</v>
      </c>
      <c r="CD40" s="98"/>
      <c r="CE40" s="91"/>
      <c r="CF40" s="91"/>
      <c r="CG40" s="91"/>
      <c r="CH40" s="266" t="str">
        <f>IF(SF&gt;0,SMG/SF*100,"")</f>
        <v/>
      </c>
      <c r="CI40" s="283"/>
      <c r="CJ40" s="280">
        <f>SF*(_SL1+_SL2)/4+(SMG-SF/2)*(_SL1+_SL2)/3</f>
        <v>0</v>
      </c>
      <c r="CK40" s="83">
        <v>10.02</v>
      </c>
      <c r="CL40" s="91">
        <v>17.03</v>
      </c>
      <c r="CM40" s="91">
        <v>15.63</v>
      </c>
      <c r="CN40" s="91">
        <v>5.92</v>
      </c>
      <c r="CO40" s="256">
        <f>IF(SCRF&gt;0,SCRMG/SCRF*100,"")</f>
        <v>59.081836327345314</v>
      </c>
      <c r="CP40" s="283"/>
      <c r="CQ40" s="256">
        <f>SCRF*(SCRL1+SCRL2)/4+(SCRMG-SCRF/2)*(SCRL1+SCRL2)/3</f>
        <v>91.720166666666685</v>
      </c>
      <c r="CR40" s="256" t="str">
        <f>IF(CO40&lt;'Look Ups'!$AC$4,"Yes","No")</f>
        <v>No</v>
      </c>
      <c r="CS40" s="267">
        <f>IF(CR40="Yes",MIN(150,('Look Ups'!$AC$4-PSCR)/('Look Ups'!$AC$4-'Look Ups'!$AC$3)*100),0)</f>
        <v>0</v>
      </c>
      <c r="CT40" s="83">
        <v>6.75</v>
      </c>
      <c r="CU40" s="91">
        <v>14.84</v>
      </c>
      <c r="CV40" s="91">
        <v>12.57</v>
      </c>
      <c r="CW40" s="91">
        <v>3.39</v>
      </c>
      <c r="CX40" s="256">
        <f>IF(USCRF&gt;0,USCRMG/USCRF*100,"")</f>
        <v>50.222222222222221</v>
      </c>
      <c r="CY40" s="293">
        <f>IF(PUSCR&lt;'Look Ups'!$AC$4,MIN(150,('Look Ups'!$AC$4-PUSCR)/('Look Ups'!$AC$4-'Look Ups'!$AC$3)*100),0)</f>
        <v>35.555555555555571</v>
      </c>
      <c r="CZ40" s="275">
        <f>IF(PUSCR&lt;'Look Ups'!$AC$4,USCRF*(USCRL1+USCRL2)/4+(USCRMG-USCRF/2)*(USCRL1+USCRL2)/3,0)</f>
        <v>46.391425000000005</v>
      </c>
      <c r="DA40" s="294">
        <f>IF(ZVAL=1,1,IF(LPM&gt;0,0.64*((AM+MAM)/(E+(MC/2))^2)^0.3,0))</f>
        <v>1</v>
      </c>
      <c r="DB40" s="256">
        <f>0.65*((AM+MAM)*EFM)+0.35*((AM+MAM)*ZVAL)</f>
        <v>48.502321250000001</v>
      </c>
      <c r="DC40" s="256">
        <f>IF(ZVAL=1,1,IF(LPG&gt;0,0.72*(AG/(LPG^2))^0.3,0))</f>
        <v>1</v>
      </c>
      <c r="DD40" s="256">
        <f>AG*EFG</f>
        <v>21.8152562</v>
      </c>
      <c r="DE40" s="256">
        <f>IF(AZ40&gt;0,'Look Ups'!$S$3,0)</f>
        <v>1</v>
      </c>
      <c r="DF40" s="256">
        <f>IF(LPS&gt;0,0.72*(AS/(LPS^2))^0.3,0)</f>
        <v>0</v>
      </c>
      <c r="DG40" s="256">
        <f>EFS*AS</f>
        <v>0</v>
      </c>
      <c r="DH40" s="256">
        <f>IF(LPD&gt;0,0.72*(AD/(LPD^2))^0.3,0)</f>
        <v>0</v>
      </c>
      <c r="DI40" s="280">
        <f>IF((AD-AG)&gt;0,0.3*(AD-AG)*EFD,0)</f>
        <v>0</v>
      </c>
      <c r="DJ40" s="295" t="str">
        <f>IF((SCRF=0),"-",IF(AND(MSASC&gt;AG,SCRMG&lt;(0.75*SCRF)),"valid","ERROR"))</f>
        <v>valid</v>
      </c>
      <c r="DK40" s="266" t="str">
        <f>IF((SF=0),"-",IF((SMG&lt;(0.75*SF)),"ERROR",IF(AND(MSASP&gt;MSASC,MSASP&gt;AG,MSASP&gt;=0.36*RSAM),"valid","Small")))</f>
        <v>-</v>
      </c>
      <c r="DL40" s="267" t="str">
        <f>IF(C40="","",CONCATENATE("MG",IF(FLSCR="valid","Scr",""),IF(FLSPI="valid","SP","")))</f>
        <v>MGScr</v>
      </c>
      <c r="DM40" s="294">
        <f>RSAM+RSAG</f>
        <v>70.317577450000002</v>
      </c>
      <c r="DN40" s="256">
        <f>IF(MSASP&gt;0,'Look Ups'!$AI$4*(ZVAL*MSASP-RSAG),0)</f>
        <v>0</v>
      </c>
      <c r="DO40" s="256">
        <f>IF(AND(MSASC&gt;0,(MSASC&gt;=0.36*RSAM)),('Look Ups'!$AI$3*(ZVAL*MSASC-RSAG)),(0))</f>
        <v>24.466718663333335</v>
      </c>
      <c r="DP40" s="256">
        <f>IF(MSASP&gt;0,'Look Ups'!$AI$5*(ZVAL*MSASP-RSAG),0)</f>
        <v>0</v>
      </c>
      <c r="DQ40" s="256">
        <f>IF(MSASC&gt;0,'Look Ups'!$AI$6*(MSASC-RSAG),0)</f>
        <v>4.8933437326666676</v>
      </c>
      <c r="DR40" s="280">
        <f>'Look Ups'!$AI$7*MAX(IF(MSAUSC&gt;0,EUSC/100*(MSAUSC-RSAG),0),IF(CR40="Yes",ELSC/100*(MSASC-RSAG),0))</f>
        <v>2.1845483377777795</v>
      </c>
      <c r="DS40" s="280">
        <f>0.36*RSAM</f>
        <v>17.46083565</v>
      </c>
      <c r="DT40" s="296">
        <f>_xlfn.IFS(SPC="MG",RAMG+DS40,SPC="MGScr",RAMG+RASCO,SPC="MGSp",RAMG+RASPO,SPC="MGScrSp",RAMG+RASPSC+RASCR)+RAUSC+RSAST+RSAD+RSAMZ+RSA2M</f>
        <v>96.968844451111124</v>
      </c>
      <c r="DU40" s="14"/>
    </row>
    <row r="41" spans="1:125" ht="15.6" customHeight="1" x14ac:dyDescent="0.3">
      <c r="A41" s="4"/>
      <c r="B41" s="64"/>
      <c r="C41" s="64" t="s">
        <v>253</v>
      </c>
      <c r="D41" s="85" t="s">
        <v>1161</v>
      </c>
      <c r="E41" s="86" t="s">
        <v>254</v>
      </c>
      <c r="F41" s="252">
        <f ca="1">IF(RW=0,0,ROUND(DLF*0.93*RL^LF*RSA^0.4/RW^0.325,3))</f>
        <v>0.88200000000000001</v>
      </c>
      <c r="G41" s="252" t="str">
        <f ca="1">IF(OR(FLSCR="ERROR",FLSPI="ERROR"),"No",IF(TODAY()-'Look Ups'!$D$4*365&gt;I41,"WP Applied","Yes"))</f>
        <v>Yes</v>
      </c>
      <c r="H41" s="253" t="str">
        <f>IF(SPC="","",CONCATENATE("Main-Genoa",IF(FLSCR="valid",IF(OR(CR41="Yes",MSAUSC&gt;0),"-Screacher (Upwind)","-Screacher"),""),IF(FLSPI="valid","-Spinnaker",""),IF(RSAMZ&gt;0,"-Mizzen",""),IF(RSA2M&gt;0,"-Second Main",""),IF(AS&gt;0,"-Staysail",""),IF(AD&gt;0,"-Drifter","")))</f>
        <v>Main-Genoa-Screacher-Spinnaker</v>
      </c>
      <c r="I41" s="108">
        <v>42671</v>
      </c>
      <c r="J41" s="1">
        <v>45744</v>
      </c>
      <c r="K41" s="87" t="s">
        <v>1198</v>
      </c>
      <c r="L41" s="87" t="s">
        <v>164</v>
      </c>
      <c r="M41" s="207"/>
      <c r="N41" s="88" t="s">
        <v>165</v>
      </c>
      <c r="O41" s="88"/>
      <c r="P41" s="100"/>
      <c r="Q41" s="90">
        <v>12.73</v>
      </c>
      <c r="R41" s="87"/>
      <c r="S41" s="256">
        <f>IF((LOAA&gt;LOA),0.025*LOAA,0.025*LOA)</f>
        <v>0.31825000000000003</v>
      </c>
      <c r="T41" s="91">
        <v>0.04</v>
      </c>
      <c r="U41" s="91">
        <v>0</v>
      </c>
      <c r="V41" s="258">
        <f>IF((_xlfn.SINGLE(LOAA)&gt;_xlfn.SINGLE(LOA)),_xlfn.SINGLE(LOAA),_xlfn.SINGLE(LOA)-_xlfn.SINGLE(FOC)-_xlfn.SINGLE(AOC))</f>
        <v>12.690000000000001</v>
      </c>
      <c r="W41" s="259">
        <f>IF(RL&gt;0,IF(RL&gt;'Look Ups'!Y$7,'Look Ups'!Y$8,('Look Ups'!Y$3*RL^3+'Look Ups'!Y$4*RL^2+'Look Ups'!Y$5*RL+'Look Ups'!Y$6)),0)</f>
        <v>0.3</v>
      </c>
      <c r="X41" s="92">
        <v>4325</v>
      </c>
      <c r="Y41" s="262">
        <f ca="1">IF(WDATE&lt;(TODAY()-'Look Ups'!$D$4*365),-WM*'Look Ups'!$D$5/100,0)</f>
        <v>0</v>
      </c>
      <c r="Z41" s="93"/>
      <c r="AA41" s="93"/>
      <c r="AB41" s="75"/>
      <c r="AC41" s="268">
        <f>WCD+NC*'Look Ups'!$AF$3</f>
        <v>0</v>
      </c>
      <c r="AD41" s="268">
        <f ca="1">IF(RL&lt;'Look Ups'!AM$3,'Look Ups'!AM$4,IF(RL&gt;'Look Ups'!AM$5,'Look Ups'!AM$6,(RL-'Look Ups'!AM$3)/('Look Ups'!AM$5-'Look Ups'!AM$3)*('Look Ups'!AM$6-'Look Ups'!AM$4)+'Look Ups'!AM$4))/100*WS</f>
        <v>432.5</v>
      </c>
      <c r="AE41" s="266">
        <f ca="1">WM+WP+WE</f>
        <v>4325</v>
      </c>
      <c r="AF41" s="267">
        <f ca="1">_xlfn.SINGLE(WS)+IF(_xlfn.SINGLE(TCW)&gt;=_xlfn.SINGLE(CWA),_xlfn.SINGLE(CWA),_xlfn.SINGLE(TCW))</f>
        <v>4325</v>
      </c>
      <c r="AG41" s="94" t="s">
        <v>145</v>
      </c>
      <c r="AH41" s="95" t="s">
        <v>146</v>
      </c>
      <c r="AI41" s="96" t="s">
        <v>147</v>
      </c>
      <c r="AJ41" s="218"/>
      <c r="AK41" s="273">
        <f>IF(C41="",0,VLOOKUP(AG41,'Look Ups'!$F$3:$G$6,2,0)*VLOOKUP(AH41,'Look Ups'!$I$3:$J$5,2,0)*VLOOKUP(AI41,'Look Ups'!$L$3:$M$7,2,0)*IF(AJ41="",1,VLOOKUP(AJ41,'Look Ups'!$O$3:$P$4,2,0)))</f>
        <v>1</v>
      </c>
      <c r="AL41" s="83">
        <v>16.04</v>
      </c>
      <c r="AM41" s="91">
        <v>15.57</v>
      </c>
      <c r="AN41" s="91">
        <v>4.99</v>
      </c>
      <c r="AO41" s="91">
        <v>1.69</v>
      </c>
      <c r="AP41" s="91">
        <v>0.28999999999999998</v>
      </c>
      <c r="AQ41" s="91">
        <v>15.86</v>
      </c>
      <c r="AR41" s="91">
        <v>0.18</v>
      </c>
      <c r="AS41" s="91">
        <v>5.07</v>
      </c>
      <c r="AT41" s="91">
        <v>0</v>
      </c>
      <c r="AU41" s="91"/>
      <c r="AV41" s="91" t="s">
        <v>148</v>
      </c>
      <c r="AW41" s="97"/>
      <c r="AX41" s="256">
        <f>P+ER</f>
        <v>15.86</v>
      </c>
      <c r="AY41" s="256">
        <f>P*0.375*MC</f>
        <v>0</v>
      </c>
      <c r="AZ41" s="275">
        <f>IF(C41="",0,(0.5*(_ML1*LPM)+0.5*(_ML1*HB)+0.66*(P*PR)+0.66*(_ML2*RDM)+0.66*(E*ER))*VLOOKUP(BATT,'Look Ups'!$U$3:$V$4,2,0))</f>
        <v>58.437866</v>
      </c>
      <c r="BA41" s="98"/>
      <c r="BB41" s="99"/>
      <c r="BC41" s="83">
        <v>15.5</v>
      </c>
      <c r="BD41" s="91">
        <v>4.0250000000000004</v>
      </c>
      <c r="BE41" s="91">
        <v>4.3099999999999996</v>
      </c>
      <c r="BF41" s="91">
        <v>0.24</v>
      </c>
      <c r="BG41" s="91">
        <v>14.48</v>
      </c>
      <c r="BH41" s="91"/>
      <c r="BI41" s="91"/>
      <c r="BJ41" s="91">
        <v>-0.03</v>
      </c>
      <c r="BK41" s="91">
        <v>-2.3E-2</v>
      </c>
      <c r="BL41" s="97">
        <v>1</v>
      </c>
      <c r="BM41" s="275">
        <f>(0.5*LL*LPG)+(0.5*_LG1*HG)+(0.66*LL*LLRG)+(0.66*FG*FRG)+(IF((HG&gt;0),(0.66*_LG2*LRG),(0.66*_LG1*LRG)))</f>
        <v>31.354460000000003</v>
      </c>
      <c r="BN41" s="282"/>
      <c r="BO41" s="283"/>
      <c r="BP41" s="284"/>
      <c r="BQ41" s="284"/>
      <c r="BR41" s="283"/>
      <c r="BS41" s="284"/>
      <c r="BT41" s="284"/>
      <c r="BU41" s="280">
        <f>(0.5*LLS*LPS)+(0.66*LLS*LLRS)+(0.66*LS*LRS)+(0.66*FS*FRS)</f>
        <v>0</v>
      </c>
      <c r="BV41" s="285"/>
      <c r="BW41" s="283"/>
      <c r="BX41" s="283"/>
      <c r="BY41" s="283"/>
      <c r="BZ41" s="283"/>
      <c r="CA41" s="283"/>
      <c r="CB41" s="283"/>
      <c r="CC41" s="275">
        <f>(0.5*LLD*LPD)+(0.66*LLD*LLRD)+(0.66*LCHD*LRD)+(0.66*FD*FRD)</f>
        <v>0</v>
      </c>
      <c r="CD41" s="98">
        <v>9.73</v>
      </c>
      <c r="CE41" s="91">
        <v>17.91</v>
      </c>
      <c r="CF41" s="91">
        <v>15.9</v>
      </c>
      <c r="CG41" s="91">
        <v>8.2799999999999994</v>
      </c>
      <c r="CH41" s="266">
        <f>IF(SF&gt;0,SMG/SF*100,"")</f>
        <v>85.097636176772866</v>
      </c>
      <c r="CI41" s="283"/>
      <c r="CJ41" s="280">
        <f>SF*(_SL1+_SL2)/4+(SMG-SF/2)*(_SL1+_SL2)/3</f>
        <v>120.72987499999999</v>
      </c>
      <c r="CK41" s="83">
        <v>8.23</v>
      </c>
      <c r="CL41" s="91">
        <v>16.239999999999998</v>
      </c>
      <c r="CM41" s="91">
        <v>14.44</v>
      </c>
      <c r="CN41" s="91">
        <v>4.33</v>
      </c>
      <c r="CO41" s="256">
        <f>IF(SCRF&gt;0,SCRMG/SCRF*100,"")</f>
        <v>52.612393681652492</v>
      </c>
      <c r="CP41" s="283"/>
      <c r="CQ41" s="256">
        <f>SCRF*(SCRL1+SCRL2)/4+(SCRMG-SCRF/2)*(SCRL1+SCRL2)/3</f>
        <v>65.322833333333335</v>
      </c>
      <c r="CR41" s="256" t="str">
        <f>IF(CO41&lt;'Look Ups'!$AC$4,"Yes","No")</f>
        <v>No</v>
      </c>
      <c r="CS41" s="267">
        <f>IF(CR41="Yes",MIN(150,('Look Ups'!$AC$4-PSCR)/('Look Ups'!$AC$4-'Look Ups'!$AC$3)*100),0)</f>
        <v>0</v>
      </c>
      <c r="CT41" s="83">
        <v>6.05</v>
      </c>
      <c r="CU41" s="91">
        <v>14.7</v>
      </c>
      <c r="CV41" s="91">
        <v>16.13</v>
      </c>
      <c r="CW41" s="91">
        <v>3.2</v>
      </c>
      <c r="CX41" s="256">
        <f>IF(USCRF&gt;0,USCRMG/USCRF*100,"")</f>
        <v>52.892561983471076</v>
      </c>
      <c r="CY41" s="293">
        <f>IF(PUSCR&lt;'Look Ups'!$AC$4,MIN(150,('Look Ups'!$AC$4-PUSCR)/('Look Ups'!$AC$4-'Look Ups'!$AC$3)*100),0)</f>
        <v>0</v>
      </c>
      <c r="CZ41" s="275">
        <f>IF(PUSCR&lt;'Look Ups'!$AC$4,USCRF*(USCRL1+USCRL2)/4+(USCRMG-USCRF/2)*(USCRL1+USCRL2)/3,0)</f>
        <v>0</v>
      </c>
      <c r="DA41" s="294">
        <f>IF(ZVAL=1,1,IF(LPM&gt;0,0.64*((AM+MAM)/(E+(MC/2))^2)^0.3,0))</f>
        <v>1</v>
      </c>
      <c r="DB41" s="256">
        <f>0.65*((AM+MAM)*EFM)+0.35*((AM+MAM)*ZVAL)</f>
        <v>58.437866</v>
      </c>
      <c r="DC41" s="256">
        <f>IF(ZVAL=1,1,IF(LPG&gt;0,0.72*(AG/(LPG^2))^0.3,0))</f>
        <v>1</v>
      </c>
      <c r="DD41" s="256">
        <f>AG*EFG</f>
        <v>31.354460000000003</v>
      </c>
      <c r="DE41" s="256">
        <f>IF(AZ41&gt;0,'Look Ups'!$S$3,0)</f>
        <v>1</v>
      </c>
      <c r="DF41" s="256">
        <f>IF(LPS&gt;0,0.72*(AS/(LPS^2))^0.3,0)</f>
        <v>0</v>
      </c>
      <c r="DG41" s="256">
        <f>EFS*AS</f>
        <v>0</v>
      </c>
      <c r="DH41" s="256">
        <f>IF(LPD&gt;0,0.72*(AD/(LPD^2))^0.3,0)</f>
        <v>0</v>
      </c>
      <c r="DI41" s="280">
        <f>IF((AD-AG)&gt;0,0.3*(AD-AG)*EFD,0)</f>
        <v>0</v>
      </c>
      <c r="DJ41" s="295" t="str">
        <f>IF((SCRF=0),"-",IF(AND(MSASC&gt;AG,SCRMG&lt;(0.75*SCRF)),"valid","ERROR"))</f>
        <v>valid</v>
      </c>
      <c r="DK41" s="266" t="str">
        <f>IF((SF=0),"-",IF((SMG&lt;(0.75*SF)),"ERROR",IF(AND(MSASP&gt;MSASC,MSASP&gt;AG,MSASP&gt;=0.36*RSAM),"valid","Small")))</f>
        <v>valid</v>
      </c>
      <c r="DL41" s="267" t="str">
        <f>IF(C41="","",CONCATENATE("MG",IF(FLSCR="valid","Scr",""),IF(FLSPI="valid","SP","")))</f>
        <v>MGScrSP</v>
      </c>
      <c r="DM41" s="294">
        <f>RSAM+RSAG</f>
        <v>89.792326000000003</v>
      </c>
      <c r="DN41" s="256">
        <f>IF(MSASP&gt;0,'Look Ups'!$AI$4*(ZVAL*MSASP-RSAG),0)</f>
        <v>26.812624499999995</v>
      </c>
      <c r="DO41" s="256">
        <f>IF(AND(MSASC&gt;0,(MSASC&gt;=0.36*RSAM)),('Look Ups'!$AI$3*(ZVAL*MSASC-RSAG)),(0))</f>
        <v>11.888930666666665</v>
      </c>
      <c r="DP41" s="256">
        <f>IF(MSASP&gt;0,'Look Ups'!$AI$5*(ZVAL*MSASP-RSAG),0)</f>
        <v>25.025116199999999</v>
      </c>
      <c r="DQ41" s="256">
        <f>IF(MSASC&gt;0,'Look Ups'!$AI$6*(MSASC-RSAG),0)</f>
        <v>2.3777861333333337</v>
      </c>
      <c r="DR41" s="280">
        <f>'Look Ups'!$AI$7*MAX(IF(MSAUSC&gt;0,EUSC/100*(MSAUSC-RSAG),0),IF(CR41="Yes",ELSC/100*(MSASC-RSAG),0))</f>
        <v>0</v>
      </c>
      <c r="DS41" s="280">
        <f>0.36*RSAM</f>
        <v>21.03763176</v>
      </c>
      <c r="DT41" s="296">
        <f>_xlfn.IFS(SPC="MG",RAMG+DS41,SPC="MGScr",RAMG+RASCO,SPC="MGSp",RAMG+RASPO,SPC="MGScrSp",RAMG+RASPSC+RASCR)+RAUSC+RSAST+RSAD+RSAMZ+RSA2M</f>
        <v>117.19522833333333</v>
      </c>
      <c r="DU41" s="63"/>
    </row>
    <row r="42" spans="1:125" ht="15.6" customHeight="1" x14ac:dyDescent="0.3">
      <c r="A42" s="4"/>
      <c r="B42" s="64"/>
      <c r="C42" s="64" t="s">
        <v>256</v>
      </c>
      <c r="D42" s="85" t="s">
        <v>257</v>
      </c>
      <c r="E42" s="86" t="s">
        <v>258</v>
      </c>
      <c r="F42" s="252">
        <f ca="1">IF(RW=0,0,ROUND(DLF*0.93*RL^LF*RSA^0.4/RW^0.325,3))</f>
        <v>1.024</v>
      </c>
      <c r="G42" s="252" t="str">
        <f ca="1">IF(OR(FLSCR="ERROR",FLSPI="ERROR"),"No",IF(TODAY()-'Look Ups'!$D$4*365&gt;I42,"WP Applied","Yes"))</f>
        <v>Yes</v>
      </c>
      <c r="H42" s="253" t="str">
        <f>IF(SPC="","",CONCATENATE("Main-Genoa",IF(FLSCR="valid",IF(OR(CR42="Yes",MSAUSC&gt;0),"-Screacher (Upwind)","-Screacher"),""),IF(FLSPI="valid","-Spinnaker",""),IF(RSAMZ&gt;0,"-Mizzen",""),IF(RSA2M&gt;0,"-Second Main",""),IF(AS&gt;0,"-Staysail",""),IF(AD&gt;0,"-Drifter","")))</f>
        <v>Main-Genoa-Screacher (Upwind)-Spinnaker</v>
      </c>
      <c r="I42" s="1">
        <v>43175</v>
      </c>
      <c r="J42" s="1">
        <v>43500</v>
      </c>
      <c r="K42" s="87" t="s">
        <v>186</v>
      </c>
      <c r="L42" s="87" t="s">
        <v>142</v>
      </c>
      <c r="M42" s="207"/>
      <c r="N42" s="88" t="s">
        <v>165</v>
      </c>
      <c r="O42" s="88"/>
      <c r="P42" s="89"/>
      <c r="Q42" s="90">
        <v>8.4779999999999998</v>
      </c>
      <c r="R42" s="87"/>
      <c r="S42" s="256">
        <f>IF((LOAA&gt;LOA),0.025*LOAA,0.025*LOA)</f>
        <v>0.21195</v>
      </c>
      <c r="T42" s="117"/>
      <c r="U42" s="117">
        <v>0</v>
      </c>
      <c r="V42" s="258">
        <f>IF((_xlfn.SINGLE(LOAA)&gt;_xlfn.SINGLE(LOA)),_xlfn.SINGLE(LOAA),_xlfn.SINGLE(LOA)-_xlfn.SINGLE(FOC)-_xlfn.SINGLE(AOC))</f>
        <v>8.4779999999999998</v>
      </c>
      <c r="W42" s="259">
        <f>IF(RL&gt;0,IF(RL&gt;'Look Ups'!Y$7,'Look Ups'!Y$8,('Look Ups'!Y$3*RL^3+'Look Ups'!Y$4*RL^2+'Look Ups'!Y$5*RL+'Look Ups'!Y$6)),0)</f>
        <v>0.295303093834616</v>
      </c>
      <c r="X42" s="92">
        <v>975</v>
      </c>
      <c r="Y42" s="262">
        <f ca="1">IF(WDATE&lt;(TODAY()-'Look Ups'!$D$4*365),-WM*'Look Ups'!$D$5/100,0)</f>
        <v>0</v>
      </c>
      <c r="Z42" s="93"/>
      <c r="AA42" s="93"/>
      <c r="AB42" s="75"/>
      <c r="AC42" s="268">
        <f>WCD+NC*'Look Ups'!$AF$3</f>
        <v>0</v>
      </c>
      <c r="AD42" s="268">
        <f ca="1">IF(RL&lt;'Look Ups'!AM$3,'Look Ups'!AM$4,IF(RL&gt;'Look Ups'!AM$5,'Look Ups'!AM$6,(RL-'Look Ups'!AM$3)/('Look Ups'!AM$5-'Look Ups'!AM$3)*('Look Ups'!AM$6-'Look Ups'!AM$4)+'Look Ups'!AM$4))/100*WS</f>
        <v>229.46181818181819</v>
      </c>
      <c r="AE42" s="266">
        <f ca="1">WM+WP+WE</f>
        <v>975</v>
      </c>
      <c r="AF42" s="267">
        <f ca="1">_xlfn.SINGLE(WS)+IF(_xlfn.SINGLE(TCW)&gt;=_xlfn.SINGLE(CWA),_xlfn.SINGLE(CWA),_xlfn.SINGLE(TCW))</f>
        <v>975</v>
      </c>
      <c r="AG42" s="94" t="s">
        <v>145</v>
      </c>
      <c r="AH42" s="95" t="s">
        <v>146</v>
      </c>
      <c r="AI42" s="96" t="s">
        <v>147</v>
      </c>
      <c r="AJ42" s="218"/>
      <c r="AK42" s="273">
        <f>IF(C42="",0,VLOOKUP(AG42,'Look Ups'!$F$3:$G$6,2,0)*VLOOKUP(AH42,'Look Ups'!$I$3:$J$5,2,0)*VLOOKUP(AI42,'Look Ups'!$L$3:$M$7,2,0)*IF(AJ42="",1,VLOOKUP(AJ42,'Look Ups'!$O$3:$P$4,2,0)))</f>
        <v>1</v>
      </c>
      <c r="AL42" s="83">
        <v>11.08</v>
      </c>
      <c r="AM42" s="91">
        <v>10.88</v>
      </c>
      <c r="AN42" s="91">
        <v>3.67</v>
      </c>
      <c r="AO42" s="91">
        <v>1.81</v>
      </c>
      <c r="AP42" s="91">
        <v>0.28000000000000003</v>
      </c>
      <c r="AQ42" s="91">
        <v>10.68</v>
      </c>
      <c r="AR42" s="91">
        <v>0</v>
      </c>
      <c r="AS42" s="91">
        <v>3.84</v>
      </c>
      <c r="AT42" s="91">
        <v>0</v>
      </c>
      <c r="AU42" s="91">
        <v>0.67</v>
      </c>
      <c r="AV42" s="91" t="s">
        <v>148</v>
      </c>
      <c r="AW42" s="97">
        <v>0</v>
      </c>
      <c r="AX42" s="256">
        <f>P+ER</f>
        <v>10.68</v>
      </c>
      <c r="AY42" s="256">
        <f>P*0.375*MC</f>
        <v>2.6833499999999999</v>
      </c>
      <c r="AZ42" s="275">
        <f>IF(C42="",0,(0.5*(_ML1*LPM)+0.5*(_ML1*HB)+0.66*(P*PR)+0.66*(_ML2*RDM)+0.66*(E*ER))*VLOOKUP(BATT,'Look Ups'!$U$3:$V$4,2,0))</f>
        <v>32.369824000000001</v>
      </c>
      <c r="BA42" s="98"/>
      <c r="BB42" s="99"/>
      <c r="BC42" s="83">
        <v>8.35</v>
      </c>
      <c r="BD42" s="91">
        <v>3.12</v>
      </c>
      <c r="BE42" s="91">
        <v>3.31</v>
      </c>
      <c r="BF42" s="91">
        <v>0.15</v>
      </c>
      <c r="BG42" s="91">
        <v>7.87</v>
      </c>
      <c r="BH42" s="91">
        <v>7.79</v>
      </c>
      <c r="BI42" s="91">
        <v>0.25</v>
      </c>
      <c r="BJ42" s="91"/>
      <c r="BK42" s="91">
        <v>0.08</v>
      </c>
      <c r="BL42" s="97"/>
      <c r="BM42" s="275">
        <f>(0.5*LL*LPG)+(0.5*_LG1*HG)+(0.66*LL*LLRG)+(0.66*FG*FRG)+(IF((HG&gt;0),(0.66*_LG2*LRG),(0.66*_LG1*LRG)))</f>
        <v>14.778320000000001</v>
      </c>
      <c r="BN42" s="282"/>
      <c r="BO42" s="283"/>
      <c r="BP42" s="284"/>
      <c r="BQ42" s="284"/>
      <c r="BR42" s="283"/>
      <c r="BS42" s="284"/>
      <c r="BT42" s="284"/>
      <c r="BU42" s="280">
        <f>(0.5*LLS*LPS)+(0.66*LLS*LLRS)+(0.66*LS*LRS)+(0.66*FS*FRS)</f>
        <v>0</v>
      </c>
      <c r="BV42" s="285"/>
      <c r="BW42" s="283"/>
      <c r="BX42" s="283"/>
      <c r="BY42" s="283"/>
      <c r="BZ42" s="283"/>
      <c r="CA42" s="283"/>
      <c r="CB42" s="283"/>
      <c r="CC42" s="275">
        <f>(0.5*LLD*LPD)+(0.66*LLD*LLRD)+(0.66*LCHD*LRD)+(0.66*FD*FRD)</f>
        <v>0</v>
      </c>
      <c r="CD42" s="98">
        <v>9.44</v>
      </c>
      <c r="CE42" s="91">
        <v>13.27</v>
      </c>
      <c r="CF42" s="91">
        <v>11.88</v>
      </c>
      <c r="CG42" s="91">
        <v>7.5</v>
      </c>
      <c r="CH42" s="266">
        <f>IF(SF&gt;0,SMG/SF*100,"")</f>
        <v>79.449152542372886</v>
      </c>
      <c r="CI42" s="283"/>
      <c r="CJ42" s="280">
        <f>SF*(_SL1+_SL2)/4+(SMG-SF/2)*(_SL1+_SL2)/3</f>
        <v>82.659666666666652</v>
      </c>
      <c r="CK42" s="83">
        <v>5.75</v>
      </c>
      <c r="CL42" s="91">
        <v>9.8000000000000007</v>
      </c>
      <c r="CM42" s="91">
        <v>8.65</v>
      </c>
      <c r="CN42" s="91">
        <v>2.91</v>
      </c>
      <c r="CO42" s="256">
        <f>IF(SCRF&gt;0,SCRMG/SCRF*100,"")</f>
        <v>50.608695652173921</v>
      </c>
      <c r="CP42" s="283"/>
      <c r="CQ42" s="256">
        <f>SCRF*(SCRL1+SCRL2)/4+(SCRMG-SCRF/2)*(SCRL1+SCRL2)/3</f>
        <v>26.737125000000006</v>
      </c>
      <c r="CR42" s="256" t="str">
        <f>IF(CO42&lt;'Look Ups'!$AC$4,"Yes","No")</f>
        <v>Yes</v>
      </c>
      <c r="CS42" s="267">
        <f>IF(CR42="Yes",MIN(150,('Look Ups'!$AC$4-PSCR)/('Look Ups'!$AC$4-'Look Ups'!$AC$3)*100),0)</f>
        <v>27.826086956521578</v>
      </c>
      <c r="CT42" s="83"/>
      <c r="CU42" s="91"/>
      <c r="CV42" s="91"/>
      <c r="CW42" s="91"/>
      <c r="CX42" s="256" t="str">
        <f>IF(USCRF&gt;0,USCRMG/USCRF*100,"")</f>
        <v/>
      </c>
      <c r="CY42" s="293">
        <f>IF(PUSCR&lt;'Look Ups'!$AC$4,MIN(150,('Look Ups'!$AC$4-PUSCR)/('Look Ups'!$AC$4-'Look Ups'!$AC$3)*100),0)</f>
        <v>0</v>
      </c>
      <c r="CZ42" s="275">
        <f>IF(PUSCR&lt;'Look Ups'!$AC$4,USCRF*(USCRL1+USCRL2)/4+(USCRMG-USCRF/2)*(USCRL1+USCRL2)/3,0)</f>
        <v>0</v>
      </c>
      <c r="DA42" s="294">
        <f>IF(ZVAL=1,1,IF(LPM&gt;0,0.64*((AM+MAM)/(E+(MC/2))^2)^0.3,0))</f>
        <v>1</v>
      </c>
      <c r="DB42" s="256">
        <f>0.65*((AM+MAM)*EFM)+0.35*((AM+MAM)*ZVAL)</f>
        <v>35.053173999999999</v>
      </c>
      <c r="DC42" s="256">
        <f>IF(ZVAL=1,1,IF(LPG&gt;0,0.72*(AG/(LPG^2))^0.3,0))</f>
        <v>1</v>
      </c>
      <c r="DD42" s="256">
        <f>AG*EFG</f>
        <v>14.778320000000001</v>
      </c>
      <c r="DE42" s="256">
        <f>IF(AZ42&gt;0,'Look Ups'!$S$3,0)</f>
        <v>1</v>
      </c>
      <c r="DF42" s="256">
        <f>IF(LPS&gt;0,0.72*(AS/(LPS^2))^0.3,0)</f>
        <v>0</v>
      </c>
      <c r="DG42" s="256">
        <f>EFS*AS</f>
        <v>0</v>
      </c>
      <c r="DH42" s="256">
        <f>IF(LPD&gt;0,0.72*(AD/(LPD^2))^0.3,0)</f>
        <v>0</v>
      </c>
      <c r="DI42" s="280">
        <f>IF((AD-AG)&gt;0,0.3*(AD-AG)*EFD,0)</f>
        <v>0</v>
      </c>
      <c r="DJ42" s="295" t="str">
        <f>IF((SCRF=0),"-",IF(AND(MSASC&gt;AG,SCRMG&lt;(0.75*SCRF)),"valid","ERROR"))</f>
        <v>valid</v>
      </c>
      <c r="DK42" s="266" t="str">
        <f>IF((SF=0),"-",IF((SMG&lt;(0.75*SF)),"ERROR",IF(AND(MSASP&gt;MSASC,MSASP&gt;AG,MSASP&gt;=0.36*RSAM),"valid","Small")))</f>
        <v>valid</v>
      </c>
      <c r="DL42" s="267" t="str">
        <f>IF(C42="","",CONCATENATE("MG",IF(FLSCR="valid","Scr",""),IF(FLSPI="valid","SP","")))</f>
        <v>MGScrSP</v>
      </c>
      <c r="DM42" s="294">
        <f>RSAM+RSAG</f>
        <v>49.831493999999999</v>
      </c>
      <c r="DN42" s="256">
        <f>IF(MSASP&gt;0,'Look Ups'!$AI$4*(ZVAL*MSASP-RSAG),0)</f>
        <v>20.364403999999993</v>
      </c>
      <c r="DO42" s="256">
        <f>IF(AND(MSASC&gt;0,(MSASC&gt;=0.36*RSAM)),('Look Ups'!$AI$3*(ZVAL*MSASC-RSAG)),(0))</f>
        <v>4.1855817500000017</v>
      </c>
      <c r="DP42" s="256">
        <f>IF(MSASP&gt;0,'Look Ups'!$AI$5*(ZVAL*MSASP-RSAG),0)</f>
        <v>19.006777066666661</v>
      </c>
      <c r="DQ42" s="256">
        <f>IF(MSASC&gt;0,'Look Ups'!$AI$6*(MSASC-RSAG),0)</f>
        <v>0.8371163500000004</v>
      </c>
      <c r="DR42" s="280">
        <f>'Look Ups'!$AI$7*MAX(IF(MSAUSC&gt;0,EUSC/100*(MSAUSC-RSAG),0),IF(CR42="Yes",ELSC/100*(MSASC-RSAG),0))</f>
        <v>0.83191686956521294</v>
      </c>
      <c r="DS42" s="280">
        <f>0.36*RSAM</f>
        <v>12.61914264</v>
      </c>
      <c r="DT42" s="296">
        <f>_xlfn.IFS(SPC="MG",RAMG+DS42,SPC="MGScr",RAMG+RASCO,SPC="MGSp",RAMG+RASPO,SPC="MGScrSp",RAMG+RASPSC+RASCR)+RAUSC+RSAST+RSAD+RSAMZ+RSA2M</f>
        <v>70.507304286231886</v>
      </c>
      <c r="DU42" s="63"/>
    </row>
    <row r="43" spans="1:125" ht="15.6" customHeight="1" x14ac:dyDescent="0.3">
      <c r="A43" s="4"/>
      <c r="B43" s="64"/>
      <c r="C43" s="64" t="s">
        <v>259</v>
      </c>
      <c r="D43" s="85" t="s">
        <v>260</v>
      </c>
      <c r="E43" s="86" t="s">
        <v>261</v>
      </c>
      <c r="F43" s="252">
        <f ca="1">IF(RW=0,0,ROUND(DLF*0.93*RL^LF*RSA^0.4/RW^0.325,3))</f>
        <v>0.68400000000000005</v>
      </c>
      <c r="G43" s="252" t="str">
        <f ca="1">IF(OR(FLSCR="ERROR",FLSPI="ERROR"),"No",IF(TODAY()-'Look Ups'!$D$4*365&gt;I43,"WP Applied","Yes"))</f>
        <v>Yes</v>
      </c>
      <c r="H43" s="253" t="str">
        <f>IF(SPC="","",CONCATENATE("Main-Genoa",IF(FLSCR="valid",IF(OR(CR43="Yes",MSAUSC&gt;0),"-Screacher (Upwind)","-Screacher"),""),IF(FLSPI="valid","-Spinnaker",""),IF(RSAMZ&gt;0,"-Mizzen",""),IF(RSA2M&gt;0,"-Second Main",""),IF(AS&gt;0,"-Staysail",""),IF(AD&gt;0,"-Drifter","")))</f>
        <v>Main-Genoa-Screacher (Upwind)-Spinnaker</v>
      </c>
      <c r="I43" s="1">
        <v>43903</v>
      </c>
      <c r="J43" s="1">
        <v>44616</v>
      </c>
      <c r="K43" s="87" t="s">
        <v>186</v>
      </c>
      <c r="L43" s="87" t="s">
        <v>245</v>
      </c>
      <c r="M43" s="207"/>
      <c r="N43" s="88" t="s">
        <v>165</v>
      </c>
      <c r="O43" s="88" t="s">
        <v>262</v>
      </c>
      <c r="P43" s="89">
        <v>6.4</v>
      </c>
      <c r="Q43" s="90">
        <v>11.84</v>
      </c>
      <c r="R43" s="87"/>
      <c r="S43" s="256">
        <f>IF((LOAA&gt;LOA),0.025*LOAA,0.025*LOA)</f>
        <v>0.29599999999999999</v>
      </c>
      <c r="T43" s="117"/>
      <c r="U43" s="117">
        <v>0</v>
      </c>
      <c r="V43" s="258">
        <f>IF((_xlfn.SINGLE(LOAA)&gt;_xlfn.SINGLE(LOA)),_xlfn.SINGLE(LOAA),_xlfn.SINGLE(LOA)-_xlfn.SINGLE(FOC)-_xlfn.SINGLE(AOC))</f>
        <v>11.84</v>
      </c>
      <c r="W43" s="259">
        <f>IF(RL&gt;0,IF(RL&gt;'Look Ups'!Y$7,'Look Ups'!Y$8,('Look Ups'!Y$3*RL^3+'Look Ups'!Y$4*RL^2+'Look Ups'!Y$5*RL+'Look Ups'!Y$6)),0)</f>
        <v>0.29989347763200003</v>
      </c>
      <c r="X43" s="92">
        <v>8968</v>
      </c>
      <c r="Y43" s="262">
        <f ca="1">IF(WDATE&lt;(TODAY()-'Look Ups'!$D$4*365),-WM*'Look Ups'!$D$5/100,0)</f>
        <v>0</v>
      </c>
      <c r="Z43" s="93"/>
      <c r="AA43" s="93"/>
      <c r="AB43" s="75"/>
      <c r="AC43" s="268">
        <f>WCD+NC*'Look Ups'!$AF$3</f>
        <v>0</v>
      </c>
      <c r="AD43" s="268">
        <f ca="1">IF(RL&lt;'Look Ups'!AM$3,'Look Ups'!AM$4,IF(RL&gt;'Look Ups'!AM$5,'Look Ups'!AM$6,(RL-'Look Ups'!AM$3)/('Look Ups'!AM$5-'Look Ups'!AM$3)*('Look Ups'!AM$6-'Look Ups'!AM$4)+'Look Ups'!AM$4))/100*WS</f>
        <v>1014.1992727272724</v>
      </c>
      <c r="AE43" s="266">
        <f ca="1">WM+WP+WE</f>
        <v>8968</v>
      </c>
      <c r="AF43" s="267">
        <f ca="1">_xlfn.SINGLE(WS)+IF(_xlfn.SINGLE(TCW)&gt;=_xlfn.SINGLE(CWA),_xlfn.SINGLE(CWA),_xlfn.SINGLE(TCW))</f>
        <v>8968</v>
      </c>
      <c r="AG43" s="94" t="s">
        <v>263</v>
      </c>
      <c r="AH43" s="95" t="s">
        <v>146</v>
      </c>
      <c r="AI43" s="96" t="s">
        <v>147</v>
      </c>
      <c r="AJ43" s="218"/>
      <c r="AK43" s="273">
        <f>IF(C43="",0,VLOOKUP(AG43,'Look Ups'!$F$3:$G$6,2,0)*VLOOKUP(AH43,'Look Ups'!$I$3:$J$5,2,0)*VLOOKUP(AI43,'Look Ups'!$L$3:$M$7,2,0)*IF(AJ43="",1,VLOOKUP(AJ43,'Look Ups'!$O$3:$P$4,2,0)))</f>
        <v>0.995</v>
      </c>
      <c r="AL43" s="83">
        <v>14.9</v>
      </c>
      <c r="AM43" s="91">
        <v>14.55</v>
      </c>
      <c r="AN43" s="91">
        <v>5.6</v>
      </c>
      <c r="AO43" s="91">
        <v>2</v>
      </c>
      <c r="AP43" s="91">
        <v>0.22</v>
      </c>
      <c r="AQ43" s="91">
        <v>14.25</v>
      </c>
      <c r="AR43" s="91">
        <v>0.23</v>
      </c>
      <c r="AS43" s="91">
        <v>5.7</v>
      </c>
      <c r="AT43" s="91">
        <v>0.1</v>
      </c>
      <c r="AU43" s="91"/>
      <c r="AV43" s="91" t="s">
        <v>148</v>
      </c>
      <c r="AW43" s="97"/>
      <c r="AX43" s="256">
        <f>P+ER</f>
        <v>14.35</v>
      </c>
      <c r="AY43" s="256">
        <f>P*0.375*MC</f>
        <v>0</v>
      </c>
      <c r="AZ43" s="275">
        <f>IF(C43="",0,(0.5*(_ML1*LPM)+0.5*(_ML1*HB)+0.66*(P*PR)+0.66*(_ML2*RDM)+0.66*(E*ER))*VLOOKUP(BATT,'Look Ups'!$U$3:$V$4,2,0))</f>
        <v>61.272009999999995</v>
      </c>
      <c r="BA43" s="98"/>
      <c r="BB43" s="99"/>
      <c r="BC43" s="83">
        <v>13.42</v>
      </c>
      <c r="BD43" s="91">
        <v>5.7</v>
      </c>
      <c r="BE43" s="91">
        <v>6.25</v>
      </c>
      <c r="BF43" s="91">
        <v>0.06</v>
      </c>
      <c r="BG43" s="91">
        <v>11.9</v>
      </c>
      <c r="BH43" s="91"/>
      <c r="BI43" s="91"/>
      <c r="BJ43" s="91">
        <v>-0.18</v>
      </c>
      <c r="BK43" s="91"/>
      <c r="BL43" s="97"/>
      <c r="BM43" s="275">
        <f>(0.5*LL*LPG)+(0.5*_LG1*HG)+(0.66*LL*LLRG)+(0.66*FG*FRG)+(IF((HG&gt;0),(0.66*_LG2*LRG),(0.66*_LG1*LRG)))</f>
        <v>37.080780000000004</v>
      </c>
      <c r="BN43" s="282"/>
      <c r="BO43" s="283"/>
      <c r="BP43" s="284"/>
      <c r="BQ43" s="284"/>
      <c r="BR43" s="283"/>
      <c r="BS43" s="284"/>
      <c r="BT43" s="284"/>
      <c r="BU43" s="280">
        <f>(0.5*LLS*LPS)+(0.66*LLS*LLRS)+(0.66*LS*LRS)+(0.66*FS*FRS)</f>
        <v>0</v>
      </c>
      <c r="BV43" s="285"/>
      <c r="BW43" s="283"/>
      <c r="BX43" s="283"/>
      <c r="BY43" s="283"/>
      <c r="BZ43" s="283"/>
      <c r="CA43" s="283"/>
      <c r="CB43" s="283"/>
      <c r="CC43" s="275">
        <f>(0.5*LLD*LPD)+(0.66*LLD*LLRD)+(0.66*LCHD*LRD)+(0.66*FD*FRD)</f>
        <v>0</v>
      </c>
      <c r="CD43" s="98">
        <v>9.65</v>
      </c>
      <c r="CE43" s="91">
        <v>16.55</v>
      </c>
      <c r="CF43" s="91">
        <v>14</v>
      </c>
      <c r="CG43" s="91">
        <v>7.28</v>
      </c>
      <c r="CH43" s="266">
        <f>IF(SF&gt;0,SMG/SF*100,"")</f>
        <v>75.440414507772019</v>
      </c>
      <c r="CI43" s="283"/>
      <c r="CJ43" s="280">
        <f>SF*(_SL1+_SL2)/4+(SMG-SF/2)*(_SL1+_SL2)/3</f>
        <v>98.701958333333337</v>
      </c>
      <c r="CK43" s="83">
        <v>9.35</v>
      </c>
      <c r="CL43" s="91">
        <v>14.95</v>
      </c>
      <c r="CM43" s="91">
        <v>12.85</v>
      </c>
      <c r="CN43" s="91">
        <v>4.71</v>
      </c>
      <c r="CO43" s="256">
        <f>IF(SCRF&gt;0,SCRMG/SCRF*100,"")</f>
        <v>50.37433155080214</v>
      </c>
      <c r="CP43" s="283"/>
      <c r="CQ43" s="256">
        <f>SCRF*(SCRL1+SCRL2)/4+(SCRMG-SCRF/2)*(SCRL1+SCRL2)/3</f>
        <v>65.306833333333316</v>
      </c>
      <c r="CR43" s="256" t="str">
        <f>IF(CO43&lt;'Look Ups'!$AC$4,"Yes","No")</f>
        <v>Yes</v>
      </c>
      <c r="CS43" s="267">
        <f>IF(CR43="Yes",MIN(150,('Look Ups'!$AC$4-PSCR)/('Look Ups'!$AC$4-'Look Ups'!$AC$3)*100),0)</f>
        <v>32.513368983957207</v>
      </c>
      <c r="CT43" s="83"/>
      <c r="CU43" s="91"/>
      <c r="CV43" s="91"/>
      <c r="CW43" s="91"/>
      <c r="CX43" s="256" t="str">
        <f>IF(USCRF&gt;0,USCRMG/USCRF*100,"")</f>
        <v/>
      </c>
      <c r="CY43" s="293">
        <f>IF(PUSCR&lt;'Look Ups'!$AC$4,MIN(150,('Look Ups'!$AC$4-PUSCR)/('Look Ups'!$AC$4-'Look Ups'!$AC$3)*100),0)</f>
        <v>0</v>
      </c>
      <c r="CZ43" s="275">
        <f>IF(PUSCR&lt;'Look Ups'!$AC$4,USCRF*(USCRL1+USCRL2)/4+(USCRMG-USCRF/2)*(USCRL1+USCRL2)/3,0)</f>
        <v>0</v>
      </c>
      <c r="DA43" s="294">
        <f>IF(ZVAL=1,1,IF(LPM&gt;0,0.64*((AM+MAM)/(E+(MC/2))^2)^0.3,0))</f>
        <v>1</v>
      </c>
      <c r="DB43" s="256">
        <f>0.65*((AM+MAM)*EFM)+0.35*((AM+MAM)*ZVAL)</f>
        <v>61.272009999999995</v>
      </c>
      <c r="DC43" s="256">
        <f>IF(ZVAL=1,1,IF(LPG&gt;0,0.72*(AG/(LPG^2))^0.3,0))</f>
        <v>1</v>
      </c>
      <c r="DD43" s="256">
        <f>AG*EFG</f>
        <v>37.080780000000004</v>
      </c>
      <c r="DE43" s="256">
        <f>IF(AZ43&gt;0,'Look Ups'!$S$3,0)</f>
        <v>1</v>
      </c>
      <c r="DF43" s="256">
        <f>IF(LPS&gt;0,0.72*(AS/(LPS^2))^0.3,0)</f>
        <v>0</v>
      </c>
      <c r="DG43" s="256">
        <f>EFS*AS</f>
        <v>0</v>
      </c>
      <c r="DH43" s="256">
        <f>IF(LPD&gt;0,0.72*(AD/(LPD^2))^0.3,0)</f>
        <v>0</v>
      </c>
      <c r="DI43" s="280">
        <f>IF((AD-AG)&gt;0,0.3*(AD-AG)*EFD,0)</f>
        <v>0</v>
      </c>
      <c r="DJ43" s="295" t="str">
        <f>IF((SCRF=0),"-",IF(AND(MSASC&gt;AG,SCRMG&lt;(0.75*SCRF)),"valid","ERROR"))</f>
        <v>valid</v>
      </c>
      <c r="DK43" s="266" t="str">
        <f>IF((SF=0),"-",IF((SMG&lt;(0.75*SF)),"ERROR",IF(AND(MSASP&gt;MSASC,MSASP&gt;AG,MSASP&gt;=0.36*RSAM),"valid","Small")))</f>
        <v>valid</v>
      </c>
      <c r="DL43" s="267" t="str">
        <f>IF(C43="","",CONCATENATE("MG",IF(FLSCR="valid","Scr",""),IF(FLSPI="valid","SP","")))</f>
        <v>MGScrSP</v>
      </c>
      <c r="DM43" s="294">
        <f>RSAM+RSAG</f>
        <v>98.352789999999999</v>
      </c>
      <c r="DN43" s="256">
        <f>IF(MSASP&gt;0,'Look Ups'!$AI$4*(ZVAL*MSASP-RSAG),0)</f>
        <v>18.4863535</v>
      </c>
      <c r="DO43" s="256">
        <f>IF(AND(MSASC&gt;0,(MSASC&gt;=0.36*RSAM)),('Look Ups'!$AI$3*(ZVAL*MSASC-RSAG)),(0))</f>
        <v>9.8791186666666579</v>
      </c>
      <c r="DP43" s="256">
        <f>IF(MSASP&gt;0,'Look Ups'!$AI$5*(ZVAL*MSASP-RSAG),0)</f>
        <v>17.253929933333335</v>
      </c>
      <c r="DQ43" s="256">
        <f>IF(MSASC&gt;0,'Look Ups'!$AI$6*(MSASC-RSAG),0)</f>
        <v>1.9758237333333319</v>
      </c>
      <c r="DR43" s="280">
        <f>'Look Ups'!$AI$7*MAX(IF(MSAUSC&gt;0,EUSC/100*(MSAUSC-RSAG),0),IF(CR43="Yes",ELSC/100*(MSASC-RSAG),0))</f>
        <v>2.2943102174688033</v>
      </c>
      <c r="DS43" s="280">
        <f>0.36*RSAM</f>
        <v>22.057923599999999</v>
      </c>
      <c r="DT43" s="296">
        <f>_xlfn.IFS(SPC="MG",RAMG+DS43,SPC="MGScr",RAMG+RASCO,SPC="MGSp",RAMG+RASPO,SPC="MGScrSp",RAMG+RASPSC+RASCR)+RAUSC+RSAST+RSAD+RSAMZ+RSA2M</f>
        <v>119.87685388413547</v>
      </c>
      <c r="DU43" s="63"/>
    </row>
    <row r="44" spans="1:125" ht="15.6" customHeight="1" x14ac:dyDescent="0.3">
      <c r="A44" s="4"/>
      <c r="B44" s="64"/>
      <c r="C44" s="64" t="s">
        <v>264</v>
      </c>
      <c r="D44" s="85" t="s">
        <v>189</v>
      </c>
      <c r="E44" s="86" t="s">
        <v>265</v>
      </c>
      <c r="F44" s="252">
        <f ca="1">IF(RW=0,0,ROUND(DLF*0.93*RL^LF*RSA^0.4/RW^0.325,3))</f>
        <v>1.0760000000000001</v>
      </c>
      <c r="G44" s="252" t="str">
        <f ca="1">IF(OR(FLSCR="ERROR",FLSPI="ERROR"),"No",IF(TODAY()-'Look Ups'!$D$4*365&gt;I44,"WP Applied","Yes"))</f>
        <v>WP Applied</v>
      </c>
      <c r="H44" s="253" t="str">
        <f>IF(SPC="","",CONCATENATE("Main-Genoa",IF(FLSCR="valid",IF(OR(CR44="Yes",MSAUSC&gt;0),"-Screacher (Upwind)","-Screacher"),""),IF(FLSPI="valid","-Spinnaker",""),IF(RSAMZ&gt;0,"-Mizzen",""),IF(RSA2M&gt;0,"-Second Main",""),IF(AS&gt;0,"-Staysail",""),IF(AD&gt;0,"-Drifter","")))</f>
        <v>Main-Genoa-Spinnaker</v>
      </c>
      <c r="I44" s="1">
        <v>39355</v>
      </c>
      <c r="J44" s="1">
        <v>43870</v>
      </c>
      <c r="K44" s="87" t="s">
        <v>222</v>
      </c>
      <c r="L44" s="87" t="s">
        <v>176</v>
      </c>
      <c r="M44" s="207"/>
      <c r="N44" s="88" t="s">
        <v>143</v>
      </c>
      <c r="O44" s="88" t="s">
        <v>144</v>
      </c>
      <c r="P44" s="100"/>
      <c r="Q44" s="90">
        <v>8.06</v>
      </c>
      <c r="R44" s="87"/>
      <c r="S44" s="256">
        <f>IF((LOAA&gt;LOA),0.025*LOAA,0.025*LOA)</f>
        <v>0.20150000000000001</v>
      </c>
      <c r="T44" s="91">
        <v>9.5000000000000001E-2</v>
      </c>
      <c r="U44" s="91">
        <v>0.12</v>
      </c>
      <c r="V44" s="258">
        <f>IF((_xlfn.SINGLE(LOAA)&gt;_xlfn.SINGLE(LOA)),_xlfn.SINGLE(LOAA),_xlfn.SINGLE(LOA)-_xlfn.SINGLE(FOC)-_xlfn.SINGLE(AOC))</f>
        <v>7.8450000000000006</v>
      </c>
      <c r="W44" s="259">
        <f>IF(RL&gt;0,IF(RL&gt;'Look Ups'!Y$7,'Look Ups'!Y$8,('Look Ups'!Y$3*RL^3+'Look Ups'!Y$4*RL^2+'Look Ups'!Y$5*RL+'Look Ups'!Y$6)),0)</f>
        <v>0.29324868991212505</v>
      </c>
      <c r="X44" s="92">
        <v>880</v>
      </c>
      <c r="Y44" s="262">
        <f ca="1">IF(WDATE&lt;(TODAY()-'Look Ups'!$D$4*365),-WM*'Look Ups'!$D$5/100,0)</f>
        <v>-132</v>
      </c>
      <c r="Z44" s="87"/>
      <c r="AA44" s="93"/>
      <c r="AB44" s="75"/>
      <c r="AC44" s="268">
        <f>WCD+NC*'Look Ups'!$AF$3</f>
        <v>0</v>
      </c>
      <c r="AD44" s="268">
        <f ca="1">IF(RL&lt;'Look Ups'!AM$3,'Look Ups'!AM$4,IF(RL&gt;'Look Ups'!AM$5,'Look Ups'!AM$6,(RL-'Look Ups'!AM$3)/('Look Ups'!AM$5-'Look Ups'!AM$3)*('Look Ups'!AM$6-'Look Ups'!AM$4)+'Look Ups'!AM$4))/100*WS</f>
        <v>193.256</v>
      </c>
      <c r="AE44" s="266">
        <f ca="1">WM+WP+WE</f>
        <v>748</v>
      </c>
      <c r="AF44" s="267">
        <f ca="1">_xlfn.SINGLE(WS)+IF(_xlfn.SINGLE(TCW)&gt;=_xlfn.SINGLE(CWA),_xlfn.SINGLE(CWA),_xlfn.SINGLE(TCW))</f>
        <v>748</v>
      </c>
      <c r="AG44" s="94" t="s">
        <v>145</v>
      </c>
      <c r="AH44" s="95" t="s">
        <v>146</v>
      </c>
      <c r="AI44" s="96" t="s">
        <v>147</v>
      </c>
      <c r="AJ44" s="218"/>
      <c r="AK44" s="273">
        <f>IF(C44="",0,VLOOKUP(AG44,'Look Ups'!$F$3:$G$6,2,0)*VLOOKUP(AH44,'Look Ups'!$I$3:$J$5,2,0)*VLOOKUP(AI44,'Look Ups'!$L$3:$M$7,2,0)*IF(AJ44="",1,VLOOKUP(AJ44,'Look Ups'!$O$3:$P$4,2,0)))</f>
        <v>1</v>
      </c>
      <c r="AL44" s="83">
        <v>11.45</v>
      </c>
      <c r="AM44" s="91">
        <v>11.2</v>
      </c>
      <c r="AN44" s="91">
        <v>3.32</v>
      </c>
      <c r="AO44" s="91">
        <v>1.34</v>
      </c>
      <c r="AP44" s="91">
        <v>0.32</v>
      </c>
      <c r="AQ44" s="91">
        <v>11.63</v>
      </c>
      <c r="AR44" s="91">
        <v>0.13</v>
      </c>
      <c r="AS44" s="91">
        <v>3.36</v>
      </c>
      <c r="AT44" s="91">
        <v>0.02</v>
      </c>
      <c r="AU44" s="91">
        <v>0.53</v>
      </c>
      <c r="AV44" s="91" t="s">
        <v>148</v>
      </c>
      <c r="AW44" s="97">
        <v>0</v>
      </c>
      <c r="AX44" s="256">
        <f>P+ER</f>
        <v>11.65</v>
      </c>
      <c r="AY44" s="256">
        <f>P*0.375*MC</f>
        <v>2.3114625000000002</v>
      </c>
      <c r="AZ44" s="275">
        <f>IF(C44="",0,(0.5*(_ML1*LPM)+0.5*(_ML1*HB)+0.66*(P*PR)+0.66*(_ML2*RDM)+0.66*(E*ER))*VLOOKUP(BATT,'Look Ups'!$U$3:$V$4,2,0))</f>
        <v>30.086145999999999</v>
      </c>
      <c r="BA44" s="98"/>
      <c r="BB44" s="99"/>
      <c r="BC44" s="83">
        <v>10.039999999999999</v>
      </c>
      <c r="BD44" s="91">
        <v>3.0950000000000002</v>
      </c>
      <c r="BE44" s="91">
        <v>3.44</v>
      </c>
      <c r="BF44" s="91">
        <v>0.21</v>
      </c>
      <c r="BG44" s="91">
        <v>8.91</v>
      </c>
      <c r="BH44" s="91"/>
      <c r="BI44" s="91"/>
      <c r="BJ44" s="91">
        <v>0.11</v>
      </c>
      <c r="BK44" s="91">
        <v>0.06</v>
      </c>
      <c r="BL44" s="97" t="s">
        <v>266</v>
      </c>
      <c r="BM44" s="275">
        <f>(0.5*LL*LPG)+(0.5*_LG1*HG)+(0.66*LL*LLRG)+(0.66*FG*FRG)+(IF((HG&gt;0),(0.66*_LG2*LRG),(0.66*_LG1*LRG)))</f>
        <v>17.058133999999999</v>
      </c>
      <c r="BN44" s="282"/>
      <c r="BO44" s="283"/>
      <c r="BP44" s="284"/>
      <c r="BQ44" s="284"/>
      <c r="BR44" s="283"/>
      <c r="BS44" s="284"/>
      <c r="BT44" s="284"/>
      <c r="BU44" s="280">
        <f>(0.5*LLS*LPS)+(0.66*LLS*LLRS)+(0.66*LS*LRS)+(0.66*FS*FRS)</f>
        <v>0</v>
      </c>
      <c r="BV44" s="285"/>
      <c r="BW44" s="283"/>
      <c r="BX44" s="283"/>
      <c r="BY44" s="283"/>
      <c r="BZ44" s="283"/>
      <c r="CA44" s="283"/>
      <c r="CB44" s="283"/>
      <c r="CC44" s="275">
        <f>(0.5*LLD*LPD)+(0.66*LLD*LLRD)+(0.66*LCHD*LRD)+(0.66*FD*FRD)</f>
        <v>0</v>
      </c>
      <c r="CD44" s="98">
        <v>7.34</v>
      </c>
      <c r="CE44" s="91">
        <v>14.14</v>
      </c>
      <c r="CF44" s="91">
        <v>12.26</v>
      </c>
      <c r="CG44" s="91">
        <v>7.43</v>
      </c>
      <c r="CH44" s="266">
        <f>IF(SF&gt;0,SMG/SF*100,"")</f>
        <v>101.22615803814713</v>
      </c>
      <c r="CI44" s="283"/>
      <c r="CJ44" s="280">
        <f>SF*(_SL1+_SL2)/4+(SMG-SF/2)*(_SL1+_SL2)/3</f>
        <v>81.531999999999996</v>
      </c>
      <c r="CK44" s="83"/>
      <c r="CL44" s="91"/>
      <c r="CM44" s="91"/>
      <c r="CN44" s="91"/>
      <c r="CO44" s="256" t="str">
        <f>IF(SCRF&gt;0,SCRMG/SCRF*100,"")</f>
        <v/>
      </c>
      <c r="CP44" s="283"/>
      <c r="CQ44" s="256">
        <f>SCRF*(SCRL1+SCRL2)/4+(SCRMG-SCRF/2)*(SCRL1+SCRL2)/3</f>
        <v>0</v>
      </c>
      <c r="CR44" s="256" t="str">
        <f>IF(CO44&lt;'Look Ups'!$AC$4,"Yes","No")</f>
        <v>No</v>
      </c>
      <c r="CS44" s="267">
        <f>IF(CR44="Yes",MIN(150,('Look Ups'!$AC$4-PSCR)/('Look Ups'!$AC$4-'Look Ups'!$AC$3)*100),0)</f>
        <v>0</v>
      </c>
      <c r="CT44" s="83"/>
      <c r="CU44" s="91"/>
      <c r="CV44" s="91"/>
      <c r="CW44" s="91"/>
      <c r="CX44" s="256" t="str">
        <f>IF(USCRF&gt;0,USCRMG/USCRF*100,"")</f>
        <v/>
      </c>
      <c r="CY44" s="293">
        <f>IF(PUSCR&lt;'Look Ups'!$AC$4,MIN(150,('Look Ups'!$AC$4-PUSCR)/('Look Ups'!$AC$4-'Look Ups'!$AC$3)*100),0)</f>
        <v>0</v>
      </c>
      <c r="CZ44" s="275">
        <f>IF(PUSCR&lt;'Look Ups'!$AC$4,USCRF*(USCRL1+USCRL2)/4+(USCRMG-USCRF/2)*(USCRL1+USCRL2)/3,0)</f>
        <v>0</v>
      </c>
      <c r="DA44" s="294">
        <f>IF(ZVAL=1,1,IF(LPM&gt;0,0.64*((AM+MAM)/(E+(MC/2))^2)^0.3,0))</f>
        <v>1</v>
      </c>
      <c r="DB44" s="256">
        <f>0.65*((AM+MAM)*EFM)+0.35*((AM+MAM)*ZVAL)</f>
        <v>32.397608499999997</v>
      </c>
      <c r="DC44" s="256">
        <f>IF(ZVAL=1,1,IF(LPG&gt;0,0.72*(AG/(LPG^2))^0.3,0))</f>
        <v>1</v>
      </c>
      <c r="DD44" s="256">
        <f>AG*EFG</f>
        <v>17.058133999999999</v>
      </c>
      <c r="DE44" s="256">
        <f>IF(AZ44&gt;0,'Look Ups'!$S$3,0)</f>
        <v>1</v>
      </c>
      <c r="DF44" s="256">
        <f>IF(LPS&gt;0,0.72*(AS/(LPS^2))^0.3,0)</f>
        <v>0</v>
      </c>
      <c r="DG44" s="256">
        <f>EFS*AS</f>
        <v>0</v>
      </c>
      <c r="DH44" s="256">
        <f>IF(LPD&gt;0,0.72*(AD/(LPD^2))^0.3,0)</f>
        <v>0</v>
      </c>
      <c r="DI44" s="280">
        <f>IF((AD-AG)&gt;0,0.3*(AD-AG)*EFD,0)</f>
        <v>0</v>
      </c>
      <c r="DJ44" s="295" t="str">
        <f>IF((SCRF=0),"-",IF(AND(MSASC&gt;AG,SCRMG&lt;(0.75*SCRF)),"valid","ERROR"))</f>
        <v>-</v>
      </c>
      <c r="DK44" s="266" t="str">
        <f>IF((SF=0),"-",IF((SMG&lt;(0.75*SF)),"ERROR",IF(AND(MSASP&gt;MSASC,MSASP&gt;AG,MSASP&gt;=0.36*RSAM),"valid","Small")))</f>
        <v>valid</v>
      </c>
      <c r="DL44" s="267" t="str">
        <f>IF(C44="","",CONCATENATE("MG",IF(FLSCR="valid","Scr",""),IF(FLSPI="valid","SP","")))</f>
        <v>MGSP</v>
      </c>
      <c r="DM44" s="294">
        <f>RSAM+RSAG</f>
        <v>49.455742499999999</v>
      </c>
      <c r="DN44" s="256">
        <f>IF(MSASP&gt;0,'Look Ups'!$AI$4*(ZVAL*MSASP-RSAG),0)</f>
        <v>19.342159800000001</v>
      </c>
      <c r="DO44" s="256">
        <f>IF(AND(MSASC&gt;0,(MSASC&gt;=0.36*RSAM)),('Look Ups'!$AI$3*(ZVAL*MSASC-RSAG)),(0))</f>
        <v>0</v>
      </c>
      <c r="DP44" s="256">
        <f>IF(MSASP&gt;0,'Look Ups'!$AI$5*(ZVAL*MSASP-RSAG),0)</f>
        <v>18.052682480000001</v>
      </c>
      <c r="DQ44" s="256">
        <f>IF(MSASC&gt;0,'Look Ups'!$AI$6*(MSASC-RSAG),0)</f>
        <v>0</v>
      </c>
      <c r="DR44" s="280">
        <f>'Look Ups'!$AI$7*MAX(IF(MSAUSC&gt;0,EUSC/100*(MSAUSC-RSAG),0),IF(CR44="Yes",ELSC/100*(MSASC-RSAG),0))</f>
        <v>0</v>
      </c>
      <c r="DS44" s="280">
        <f>0.36*RSAM</f>
        <v>11.663139059999999</v>
      </c>
      <c r="DT44" s="296">
        <f>_xlfn.IFS(SPC="MG",RAMG+DS44,SPC="MGScr",RAMG+RASCO,SPC="MGSp",RAMG+RASPO,SPC="MGScrSp",RAMG+RASPSC+RASCR)+RAUSC+RSAST+RSAD+RSAMZ+RSA2M</f>
        <v>68.797902300000004</v>
      </c>
      <c r="DU44" s="63"/>
    </row>
    <row r="45" spans="1:125" ht="15.6" customHeight="1" x14ac:dyDescent="0.3">
      <c r="A45" s="4"/>
      <c r="B45" s="64"/>
      <c r="C45" s="84" t="s">
        <v>716</v>
      </c>
      <c r="D45" s="112" t="s">
        <v>717</v>
      </c>
      <c r="E45" s="113" t="s">
        <v>718</v>
      </c>
      <c r="F45" s="252">
        <f ca="1">IF(RW=0,0,ROUND(DLF*0.93*RL^LF*RSA^0.4/RW^0.325,3))</f>
        <v>1.0720000000000001</v>
      </c>
      <c r="G45" s="252" t="str">
        <f ca="1">IF(OR(FLSCR="ERROR",FLSPI="ERROR"),"No",IF(TODAY()-'Look Ups'!$D$4*365&gt;I45,"WP Applied","Yes"))</f>
        <v>WP Applied</v>
      </c>
      <c r="H45" s="253" t="str">
        <f>IF(SPC="","",CONCATENATE("Main-Genoa",IF(FLSCR="valid",IF(OR(CR45="Yes",MSAUSC&gt;0),"-Screacher (Upwind)","-Screacher"),""),IF(FLSPI="valid","-Spinnaker",""),IF(RSAMZ&gt;0,"-Mizzen",""),IF(RSA2M&gt;0,"-Second Main",""),IF(AS&gt;0,"-Staysail",""),IF(AD&gt;0,"-Drifter","")))</f>
        <v>Main-Genoa-Screacher-Spinnaker</v>
      </c>
      <c r="I45" s="1">
        <v>38765</v>
      </c>
      <c r="J45" s="1"/>
      <c r="K45" s="87" t="s">
        <v>182</v>
      </c>
      <c r="L45" s="87" t="s">
        <v>182</v>
      </c>
      <c r="M45" s="207" t="s">
        <v>1197</v>
      </c>
      <c r="N45" s="88" t="s">
        <v>165</v>
      </c>
      <c r="O45" s="88"/>
      <c r="P45" s="89">
        <v>9.1</v>
      </c>
      <c r="Q45" s="90">
        <v>16.96</v>
      </c>
      <c r="R45" s="87"/>
      <c r="S45" s="256">
        <f>IF((LOAA&gt;LOA),0.025*LOAA,0.025*LOA)</f>
        <v>0.42400000000000004</v>
      </c>
      <c r="T45" s="117">
        <v>0.13</v>
      </c>
      <c r="U45" s="117">
        <v>0</v>
      </c>
      <c r="V45" s="258">
        <f>IF((_xlfn.SINGLE(LOAA)&gt;_xlfn.SINGLE(LOA)),_xlfn.SINGLE(LOAA),_xlfn.SINGLE(LOA)-_xlfn.SINGLE(FOC)-_xlfn.SINGLE(AOC))</f>
        <v>16.830000000000002</v>
      </c>
      <c r="W45" s="259">
        <f>IF(RL&gt;0,IF(RL&gt;'Look Ups'!Y$7,'Look Ups'!Y$8,('Look Ups'!Y$3*RL^3+'Look Ups'!Y$4*RL^2+'Look Ups'!Y$5*RL+'Look Ups'!Y$6)),0)</f>
        <v>0.3</v>
      </c>
      <c r="X45" s="92">
        <v>9373</v>
      </c>
      <c r="Y45" s="262">
        <f ca="1">IF(WDATE&lt;(TODAY()-'Look Ups'!$D$4*365),-WM*'Look Ups'!$D$5/100,0)</f>
        <v>-1405.95</v>
      </c>
      <c r="Z45" s="93"/>
      <c r="AA45" s="93"/>
      <c r="AB45" s="93"/>
      <c r="AC45" s="268">
        <f>WCD+NC*'Look Ups'!$AF$3</f>
        <v>0</v>
      </c>
      <c r="AD45" s="268">
        <f ca="1">IF(RL&lt;'Look Ups'!AM$3,'Look Ups'!AM$4,IF(RL&gt;'Look Ups'!AM$5,'Look Ups'!AM$6,(RL-'Look Ups'!AM$3)/('Look Ups'!AM$5-'Look Ups'!AM$3)*('Look Ups'!AM$6-'Look Ups'!AM$4)+'Look Ups'!AM$4))/100*WS</f>
        <v>796.70500000000004</v>
      </c>
      <c r="AE45" s="266">
        <f ca="1">WM+WP+WE</f>
        <v>7967.05</v>
      </c>
      <c r="AF45" s="267">
        <f ca="1">_xlfn.SINGLE(WS)+IF(_xlfn.SINGLE(TCW)&gt;=_xlfn.SINGLE(CWA),_xlfn.SINGLE(CWA),_xlfn.SINGLE(TCW))</f>
        <v>7967.05</v>
      </c>
      <c r="AG45" s="94" t="s">
        <v>145</v>
      </c>
      <c r="AH45" s="95" t="s">
        <v>146</v>
      </c>
      <c r="AI45" s="96" t="s">
        <v>177</v>
      </c>
      <c r="AJ45" s="218"/>
      <c r="AK45" s="273">
        <f>IF(C45="",0,VLOOKUP(AG45,'Look Ups'!$F$3:$G$6,2,0)*VLOOKUP(AH45,'Look Ups'!$I$3:$J$5,2,0)*VLOOKUP(AI45,'Look Ups'!$L$3:$M$7,2,0)*IF(AJ45="",1,VLOOKUP(AJ45,'Look Ups'!$O$3:$P$4,2,0)))</f>
        <v>0.99</v>
      </c>
      <c r="AL45" s="83">
        <v>22.54</v>
      </c>
      <c r="AM45" s="91">
        <v>22.05</v>
      </c>
      <c r="AN45" s="91">
        <v>6.93</v>
      </c>
      <c r="AO45" s="91">
        <v>2.38</v>
      </c>
      <c r="AP45" s="91">
        <v>1.23</v>
      </c>
      <c r="AQ45" s="91">
        <v>21.92</v>
      </c>
      <c r="AR45" s="91">
        <v>0.36</v>
      </c>
      <c r="AS45" s="91">
        <v>7.18</v>
      </c>
      <c r="AT45" s="91">
        <v>0.1</v>
      </c>
      <c r="AU45" s="91">
        <v>1.35</v>
      </c>
      <c r="AV45" s="91" t="s">
        <v>148</v>
      </c>
      <c r="AW45" s="97">
        <v>0</v>
      </c>
      <c r="AX45" s="256">
        <f>P+ER</f>
        <v>22.020000000000003</v>
      </c>
      <c r="AY45" s="256">
        <f>P*0.375*MC</f>
        <v>11.097000000000001</v>
      </c>
      <c r="AZ45" s="275">
        <f>IF(C45="",0,(0.5*(_ML1*LPM)+0.5*(_ML1*HB)+0.66*(P*PR)+0.66*(_ML2*RDM)+0.66*(E*ER))*VLOOKUP(BATT,'Look Ups'!$U$3:$V$4,2,0))</f>
        <v>128.50596199999998</v>
      </c>
      <c r="BA45" s="98"/>
      <c r="BB45" s="99"/>
      <c r="BC45" s="83">
        <v>18.02</v>
      </c>
      <c r="BD45" s="91">
        <v>6.59</v>
      </c>
      <c r="BE45" s="91">
        <v>7.03</v>
      </c>
      <c r="BF45" s="91">
        <v>0.26</v>
      </c>
      <c r="BG45" s="91">
        <v>16.760000000000002</v>
      </c>
      <c r="BH45" s="91">
        <v>16.72</v>
      </c>
      <c r="BI45" s="91"/>
      <c r="BJ45" s="91">
        <v>0.36</v>
      </c>
      <c r="BK45" s="91">
        <v>0.08</v>
      </c>
      <c r="BL45" s="97"/>
      <c r="BM45" s="275">
        <f>(0.5*LL*LPG)+(0.5*_LG1*HG)+(0.66*LL*LLRG)+(0.66*FG*FRG)+(IF((HG&gt;0),(0.66*_LG2*LRG),(0.66*_LG1*LRG)))</f>
        <v>65.515879999999996</v>
      </c>
      <c r="BN45" s="319"/>
      <c r="BO45" s="320"/>
      <c r="BP45" s="321"/>
      <c r="BQ45" s="321"/>
      <c r="BR45" s="320"/>
      <c r="BS45" s="321"/>
      <c r="BT45" s="321"/>
      <c r="BU45" s="280">
        <f>(0.5*LLS*LPS)+(0.66*LLS*LLRS)+(0.66*LS*LRS)+(0.66*FS*FRS)</f>
        <v>0</v>
      </c>
      <c r="BV45" s="322"/>
      <c r="BW45" s="320"/>
      <c r="BX45" s="320"/>
      <c r="BY45" s="320"/>
      <c r="BZ45" s="320"/>
      <c r="CA45" s="320"/>
      <c r="CB45" s="320"/>
      <c r="CC45" s="275">
        <f>(0.5*LLD*LPD)+(0.66*LLD*LLRD)+(0.66*LCHD*LRD)+(0.66*FD*FRD)</f>
        <v>0</v>
      </c>
      <c r="CD45" s="98">
        <v>13.7</v>
      </c>
      <c r="CE45" s="91">
        <v>24.25</v>
      </c>
      <c r="CF45" s="91">
        <v>20.05</v>
      </c>
      <c r="CG45" s="91">
        <v>12.18</v>
      </c>
      <c r="CH45" s="266">
        <f>IF(SF&gt;0,SMG/SF*100,"")</f>
        <v>88.9051094890511</v>
      </c>
      <c r="CI45" s="320"/>
      <c r="CJ45" s="280">
        <f>SF*(_SL1+_SL2)/4+(SMG-SF/2)*(_SL1+_SL2)/3</f>
        <v>230.43383333333333</v>
      </c>
      <c r="CK45" s="83">
        <v>14.1</v>
      </c>
      <c r="CL45" s="91">
        <v>24.7</v>
      </c>
      <c r="CM45" s="91">
        <v>20.6</v>
      </c>
      <c r="CN45" s="91">
        <v>9.0399999999999991</v>
      </c>
      <c r="CO45" s="256">
        <f>IF(SCRF&gt;0,SCRMG/SCRF*100,"")</f>
        <v>64.113475177304963</v>
      </c>
      <c r="CP45" s="320"/>
      <c r="CQ45" s="256">
        <f>SCRF*(SCRL1+SCRL2)/4+(SCRMG-SCRF/2)*(SCRL1+SCRL2)/3</f>
        <v>189.73149999999995</v>
      </c>
      <c r="CR45" s="256" t="str">
        <f>IF(CO45&lt;'Look Ups'!$AC$4,"Yes","No")</f>
        <v>No</v>
      </c>
      <c r="CS45" s="267">
        <f>IF(CR45="Yes",MIN(150,('Look Ups'!$AC$4-PSCR)/('Look Ups'!$AC$4-'Look Ups'!$AC$3)*100),0)</f>
        <v>0</v>
      </c>
      <c r="CT45" s="83"/>
      <c r="CU45" s="91"/>
      <c r="CV45" s="91"/>
      <c r="CW45" s="91"/>
      <c r="CX45" s="256" t="str">
        <f>IF(USCRF&gt;0,USCRMG/USCRF*100,"")</f>
        <v/>
      </c>
      <c r="CY45" s="293">
        <f>IF(PUSCR&lt;'Look Ups'!$AC$4,MIN(150,('Look Ups'!$AC$4-PUSCR)/('Look Ups'!$AC$4-'Look Ups'!$AC$3)*100),0)</f>
        <v>0</v>
      </c>
      <c r="CZ45" s="275">
        <f>IF(PUSCR&lt;'Look Ups'!$AC$4,USCRF*(USCRL1+USCRL2)/4+(USCRMG-USCRF/2)*(USCRL1+USCRL2)/3,0)</f>
        <v>0</v>
      </c>
      <c r="DA45" s="294">
        <f>IF(ZVAL=1,1,IF(LPM&gt;0,0.64*((AM+MAM)/(E+(MC/2))^2)^0.3,0))</f>
        <v>1</v>
      </c>
      <c r="DB45" s="256">
        <f>0.65*((AM+MAM)*EFM)+0.35*((AM+MAM)*ZVAL)</f>
        <v>139.60296199999999</v>
      </c>
      <c r="DC45" s="256">
        <f>IF(ZVAL=1,1,IF(LPG&gt;0,0.72*(AG/(LPG^2))^0.3,0))</f>
        <v>1</v>
      </c>
      <c r="DD45" s="256">
        <f>AG*EFG</f>
        <v>65.515879999999996</v>
      </c>
      <c r="DE45" s="256">
        <f>IF(AZ45&gt;0,'Look Ups'!$S$3,0)</f>
        <v>1</v>
      </c>
      <c r="DF45" s="256">
        <f>IF(LPS&gt;0,0.72*(AS/(LPS^2))^0.3,0)</f>
        <v>0</v>
      </c>
      <c r="DG45" s="256">
        <f>EFS*AS</f>
        <v>0</v>
      </c>
      <c r="DH45" s="256">
        <f>IF(LPD&gt;0,0.72*(AD/(LPD^2))^0.3,0)</f>
        <v>0</v>
      </c>
      <c r="DI45" s="280">
        <f>IF((AD-AG)&gt;0,0.3*(AD-AG)*EFD,0)</f>
        <v>0</v>
      </c>
      <c r="DJ45" s="295" t="str">
        <f>IF((SCRF=0),"-",IF(AND(MSASC&gt;AG,SCRMG&lt;(0.75*SCRF)),"valid","ERROR"))</f>
        <v>valid</v>
      </c>
      <c r="DK45" s="266" t="str">
        <f>IF((SF=0),"-",IF((SMG&lt;(0.75*SF)),"ERROR",IF(AND(MSASP&gt;MSASC,MSASP&gt;AG,MSASP&gt;=0.36*RSAM),"valid","Small")))</f>
        <v>valid</v>
      </c>
      <c r="DL45" s="267" t="str">
        <f>IF(C45="","",CONCATENATE("MG",IF(FLSCR="valid","Scr",""),IF(FLSPI="valid","SP","")))</f>
        <v>MGScrSP</v>
      </c>
      <c r="DM45" s="294">
        <f>RSAM+RSAG</f>
        <v>205.11884199999997</v>
      </c>
      <c r="DN45" s="256">
        <f>IF(MSASP&gt;0,'Look Ups'!$AI$4*(ZVAL*MSASP-RSAG),0)</f>
        <v>49.475386</v>
      </c>
      <c r="DO45" s="256">
        <f>IF(AND(MSASC&gt;0,(MSASC&gt;=0.36*RSAM)),('Look Ups'!$AI$3*(ZVAL*MSASC-RSAG)),(0))</f>
        <v>43.475466999999981</v>
      </c>
      <c r="DP45" s="256">
        <f>IF(MSASP&gt;0,'Look Ups'!$AI$5*(ZVAL*MSASP-RSAG),0)</f>
        <v>46.177026933333337</v>
      </c>
      <c r="DQ45" s="256">
        <f>IF(MSASC&gt;0,'Look Ups'!$AI$6*(MSASC-RSAG),0)</f>
        <v>8.6950933999999975</v>
      </c>
      <c r="DR45" s="280">
        <f>'Look Ups'!$AI$7*MAX(IF(MSAUSC&gt;0,EUSC/100*(MSAUSC-RSAG),0),IF(CR45="Yes",ELSC/100*(MSASC-RSAG),0))</f>
        <v>0</v>
      </c>
      <c r="DS45" s="280">
        <f>0.36*RSAM</f>
        <v>50.257066319999993</v>
      </c>
      <c r="DT45" s="296">
        <f>_xlfn.IFS(SPC="MG",RAMG+DS45,SPC="MGScr",RAMG+RASCO,SPC="MGSp",RAMG+RASPO,SPC="MGScrSp",RAMG+RASPSC+RASCR)+RAUSC+RSAST+RSAD+RSAMZ+RSA2M</f>
        <v>259.9909623333333</v>
      </c>
      <c r="DU45" s="63"/>
    </row>
    <row r="46" spans="1:125" ht="15.6" customHeight="1" x14ac:dyDescent="0.3">
      <c r="A46" s="4"/>
      <c r="B46" s="84"/>
      <c r="C46" s="64" t="s">
        <v>267</v>
      </c>
      <c r="D46" s="85" t="s">
        <v>268</v>
      </c>
      <c r="E46" s="86" t="s">
        <v>269</v>
      </c>
      <c r="F46" s="252">
        <f ca="1">IF(RW=0,0,ROUND(DLF*0.93*RL^LF*RSA^0.4/RW^0.325,3))</f>
        <v>1.026</v>
      </c>
      <c r="G46" s="252" t="str">
        <f ca="1">IF(OR(FLSCR="ERROR",FLSPI="ERROR"),"No",IF(TODAY()-'Look Ups'!$D$4*365&gt;I46,"WP Applied","Yes"))</f>
        <v>Yes</v>
      </c>
      <c r="H46" s="253" t="str">
        <f>IF(SPC="","",CONCATENATE("Main-Genoa",IF(FLSCR="valid",IF(OR(CR46="Yes",MSAUSC&gt;0),"-Screacher (Upwind)","-Screacher"),""),IF(FLSPI="valid","-Spinnaker",""),IF(RSAMZ&gt;0,"-Mizzen",""),IF(RSA2M&gt;0,"-Second Main",""),IF(AS&gt;0,"-Staysail",""),IF(AD&gt;0,"-Drifter","")))</f>
        <v>Main-Genoa-Screacher (Upwind)-Spinnaker</v>
      </c>
      <c r="I46" s="1">
        <v>44643</v>
      </c>
      <c r="J46" s="1">
        <v>45743</v>
      </c>
      <c r="K46" s="87" t="s">
        <v>164</v>
      </c>
      <c r="L46" s="87" t="s">
        <v>176</v>
      </c>
      <c r="M46" s="207"/>
      <c r="N46" s="97" t="s">
        <v>271</v>
      </c>
      <c r="O46" s="97"/>
      <c r="P46" s="89">
        <v>5.5</v>
      </c>
      <c r="Q46" s="90">
        <v>8.8800000000000008</v>
      </c>
      <c r="R46" s="87"/>
      <c r="S46" s="256">
        <f>IF((LOAA&gt;LOA),0.025*LOAA,0.025*LOA)</f>
        <v>0.22200000000000003</v>
      </c>
      <c r="T46" s="117"/>
      <c r="U46" s="117">
        <v>0</v>
      </c>
      <c r="V46" s="258">
        <f>IF((_xlfn.SINGLE(LOAA)&gt;_xlfn.SINGLE(LOA)),_xlfn.SINGLE(LOAA),_xlfn.SINGLE(LOA)-_xlfn.SINGLE(FOC)-_xlfn.SINGLE(AOC))</f>
        <v>8.8800000000000008</v>
      </c>
      <c r="W46" s="259">
        <f>IF(RL&gt;0,IF(RL&gt;'Look Ups'!Y$7,'Look Ups'!Y$8,('Look Ups'!Y$3*RL^3+'Look Ups'!Y$4*RL^2+'Look Ups'!Y$5*RL+'Look Ups'!Y$6)),0)</f>
        <v>0.29637133337600002</v>
      </c>
      <c r="X46" s="92">
        <v>1275</v>
      </c>
      <c r="Y46" s="263">
        <f ca="1">IF(WDATE&lt;(TODAY()-'Look Ups'!$D$4*365),-WM*'Look Ups'!$D$5/100,0)</f>
        <v>0</v>
      </c>
      <c r="Z46" s="103"/>
      <c r="AA46" s="109"/>
      <c r="AB46" s="363"/>
      <c r="AC46" s="268">
        <f>WCD+NC*'Look Ups'!$AF$3</f>
        <v>0</v>
      </c>
      <c r="AD46" s="268">
        <f ca="1">IF(RL&lt;'Look Ups'!AM$3,'Look Ups'!AM$4,IF(RL&gt;'Look Ups'!AM$5,'Look Ups'!AM$6,(RL-'Look Ups'!AM$3)/('Look Ups'!AM$5-'Look Ups'!AM$3)*('Look Ups'!AM$6-'Look Ups'!AM$4)+'Look Ups'!AM$4))/100*WS</f>
        <v>281.42727272727274</v>
      </c>
      <c r="AE46" s="269">
        <f ca="1">WM+WP+WE</f>
        <v>1275</v>
      </c>
      <c r="AF46" s="267">
        <f ca="1">_xlfn.SINGLE(WS)+IF(_xlfn.SINGLE(TCW)&gt;=_xlfn.SINGLE(CWA),_xlfn.SINGLE(CWA),_xlfn.SINGLE(TCW))</f>
        <v>1275</v>
      </c>
      <c r="AG46" s="94" t="s">
        <v>145</v>
      </c>
      <c r="AH46" s="95" t="s">
        <v>146</v>
      </c>
      <c r="AI46" s="96" t="s">
        <v>147</v>
      </c>
      <c r="AJ46" s="218"/>
      <c r="AK46" s="273">
        <f>IF(C46="",0,VLOOKUP(AG46,'Look Ups'!$F$3:$G$6,2,0)*VLOOKUP(AH46,'Look Ups'!$I$3:$J$5,2,0)*VLOOKUP(AI46,'Look Ups'!$L$3:$M$7,2,0)*IF(AJ46="",1,VLOOKUP(AJ46,'Look Ups'!$O$3:$P$4,2,0)))</f>
        <v>1</v>
      </c>
      <c r="AL46" s="83">
        <v>13.47</v>
      </c>
      <c r="AM46" s="91">
        <v>13.32</v>
      </c>
      <c r="AN46" s="91">
        <v>3.6</v>
      </c>
      <c r="AO46" s="91">
        <v>1.72</v>
      </c>
      <c r="AP46" s="91">
        <v>0.125</v>
      </c>
      <c r="AQ46" s="91">
        <v>13.42</v>
      </c>
      <c r="AR46" s="91">
        <v>0.115</v>
      </c>
      <c r="AS46" s="91">
        <v>3.7</v>
      </c>
      <c r="AT46" s="91">
        <v>0</v>
      </c>
      <c r="AU46" s="91">
        <v>0.625</v>
      </c>
      <c r="AV46" s="91" t="s">
        <v>148</v>
      </c>
      <c r="AW46" s="97">
        <v>0</v>
      </c>
      <c r="AX46" s="256">
        <f>P+ER</f>
        <v>13.42</v>
      </c>
      <c r="AY46" s="256">
        <f>P*0.375*MC</f>
        <v>3.1453124999999997</v>
      </c>
      <c r="AZ46" s="275">
        <f>IF(C46="",0,(0.5*(_ML1*LPM)+0.5*(_ML1*HB)+0.66*(P*PR)+0.66*(_ML2*RDM)+0.66*(E*ER))*VLOOKUP(BATT,'Look Ups'!$U$3:$V$4,2,0))</f>
        <v>37.947678000000003</v>
      </c>
      <c r="BA46" s="98"/>
      <c r="BB46" s="99"/>
      <c r="BC46" s="83">
        <v>11.69</v>
      </c>
      <c r="BD46" s="91">
        <v>3.18</v>
      </c>
      <c r="BE46" s="91">
        <v>3.37</v>
      </c>
      <c r="BF46" s="91">
        <v>0.16</v>
      </c>
      <c r="BG46" s="91">
        <v>10.94</v>
      </c>
      <c r="BH46" s="91">
        <v>10.88</v>
      </c>
      <c r="BI46" s="91">
        <v>0.25</v>
      </c>
      <c r="BJ46" s="91">
        <v>0.11</v>
      </c>
      <c r="BK46" s="91">
        <v>0</v>
      </c>
      <c r="BL46" s="97"/>
      <c r="BM46" s="275">
        <f>(0.5*LL*LPG)+(0.5*_LG1*HG)+(0.66*LL*LLRG)+(0.66*FG*FRG)+(IF((HG&gt;0),(0.66*_LG2*LRG),(0.66*_LG1*LRG)))</f>
        <v>21.100360000000002</v>
      </c>
      <c r="BN46" s="282"/>
      <c r="BO46" s="283"/>
      <c r="BP46" s="284"/>
      <c r="BQ46" s="284"/>
      <c r="BR46" s="283"/>
      <c r="BS46" s="284"/>
      <c r="BT46" s="284"/>
      <c r="BU46" s="280">
        <f>(0.5*LLS*LPS)+(0.66*LLS*LLRS)+(0.66*LS*LRS)+(0.66*FS*FRS)</f>
        <v>0</v>
      </c>
      <c r="BV46" s="285"/>
      <c r="BW46" s="283"/>
      <c r="BX46" s="283"/>
      <c r="BY46" s="283"/>
      <c r="BZ46" s="283"/>
      <c r="CA46" s="283"/>
      <c r="CB46" s="283"/>
      <c r="CC46" s="275">
        <f>(0.5*LLD*LPD)+(0.66*LLD*LLRD)+(0.66*LCHD*LRD)+(0.66*FD*FRD)</f>
        <v>0</v>
      </c>
      <c r="CD46" s="98">
        <v>8.6999999999999993</v>
      </c>
      <c r="CE46" s="91">
        <v>15.8</v>
      </c>
      <c r="CF46" s="91">
        <v>14.1</v>
      </c>
      <c r="CG46" s="91">
        <v>7.27</v>
      </c>
      <c r="CH46" s="266">
        <f>IF(SF&gt;0,SMG/SF*100,"")</f>
        <v>83.563218390804593</v>
      </c>
      <c r="CI46" s="283"/>
      <c r="CJ46" s="280">
        <f>SF*(_SL1+_SL2)/4+(SMG-SF/2)*(_SL1+_SL2)/3</f>
        <v>94.135166666666649</v>
      </c>
      <c r="CK46" s="83">
        <v>5.64</v>
      </c>
      <c r="CL46" s="91">
        <v>13.5</v>
      </c>
      <c r="CM46" s="91">
        <v>12.43</v>
      </c>
      <c r="CN46" s="91">
        <v>2.87</v>
      </c>
      <c r="CO46" s="256">
        <f>IF(SCRF&gt;0,SCRMG/SCRF*100,"")</f>
        <v>50.886524822695044</v>
      </c>
      <c r="CP46" s="283"/>
      <c r="CQ46" s="256">
        <f>SCRF*(SCRL1+SCRL2)/4+(SCRMG-SCRF/2)*(SCRL1+SCRL2)/3</f>
        <v>36.993466666666663</v>
      </c>
      <c r="CR46" s="256" t="str">
        <f>IF(CO46&lt;'Look Ups'!$AC$4,"Yes","No")</f>
        <v>Yes</v>
      </c>
      <c r="CS46" s="267">
        <f>IF(CR46="Yes",MIN(150,('Look Ups'!$AC$4-PSCR)/('Look Ups'!$AC$4-'Look Ups'!$AC$3)*100),0)</f>
        <v>22.269503546099116</v>
      </c>
      <c r="CT46" s="83"/>
      <c r="CU46" s="91"/>
      <c r="CV46" s="91"/>
      <c r="CW46" s="91"/>
      <c r="CX46" s="256" t="str">
        <f>IF(USCRF&gt;0,USCRMG/USCRF*100,"")</f>
        <v/>
      </c>
      <c r="CY46" s="293">
        <f>IF(PUSCR&lt;'Look Ups'!$AC$4,MIN(150,('Look Ups'!$AC$4-PUSCR)/('Look Ups'!$AC$4-'Look Ups'!$AC$3)*100),0)</f>
        <v>0</v>
      </c>
      <c r="CZ46" s="275">
        <f>IF(PUSCR&lt;'Look Ups'!$AC$4,USCRF*(USCRL1+USCRL2)/4+(USCRMG-USCRF/2)*(USCRL1+USCRL2)/3,0)</f>
        <v>0</v>
      </c>
      <c r="DA46" s="294">
        <f>IF(ZVAL=1,1,IF(LPM&gt;0,0.64*((AM+MAM)/(E+(MC/2))^2)^0.3,0))</f>
        <v>1</v>
      </c>
      <c r="DB46" s="256">
        <f>0.65*((AM+MAM)*EFM)+0.35*((AM+MAM)*ZVAL)</f>
        <v>41.092990500000006</v>
      </c>
      <c r="DC46" s="256">
        <f>IF(ZVAL=1,1,IF(LPG&gt;0,0.72*(AG/(LPG^2))^0.3,0))</f>
        <v>1</v>
      </c>
      <c r="DD46" s="256">
        <f>AG*EFG</f>
        <v>21.100360000000002</v>
      </c>
      <c r="DE46" s="256">
        <f>IF(AZ46&gt;0,'Look Ups'!$S$3,0)</f>
        <v>1</v>
      </c>
      <c r="DF46" s="256">
        <f>IF(LPS&gt;0,0.72*(AS/(LPS^2))^0.3,0)</f>
        <v>0</v>
      </c>
      <c r="DG46" s="256">
        <f>EFS*AS</f>
        <v>0</v>
      </c>
      <c r="DH46" s="256">
        <f>IF(LPD&gt;0,0.72*(AD/(LPD^2))^0.3,0)</f>
        <v>0</v>
      </c>
      <c r="DI46" s="280">
        <f>IF((AD-AG)&gt;0,0.3*(AD-AG)*EFD,0)</f>
        <v>0</v>
      </c>
      <c r="DJ46" s="295" t="str">
        <f>IF((SCRF=0),"-",IF(AND(MSASC&gt;AG,SCRMG&lt;(0.75*SCRF)),"valid","ERROR"))</f>
        <v>valid</v>
      </c>
      <c r="DK46" s="266" t="str">
        <f>IF((SF=0),"-",IF((SMG&lt;(0.75*SF)),"ERROR",IF(AND(MSASP&gt;MSASC,MSASP&gt;AG,MSASP&gt;=0.36*RSAM),"valid","Small")))</f>
        <v>valid</v>
      </c>
      <c r="DL46" s="267" t="str">
        <f>IF(C46="","",CONCATENATE("MG",IF(FLSCR="valid","Scr",""),IF(FLSPI="valid","SP","")))</f>
        <v>MGScrSP</v>
      </c>
      <c r="DM46" s="294">
        <f>RSAM+RSAG</f>
        <v>62.193350500000008</v>
      </c>
      <c r="DN46" s="256">
        <f>IF(MSASP&gt;0,'Look Ups'!$AI$4*(ZVAL*MSASP-RSAG),0)</f>
        <v>21.910441999999993</v>
      </c>
      <c r="DO46" s="256">
        <f>IF(AND(MSASC&gt;0,(MSASC&gt;=0.36*RSAM)),('Look Ups'!$AI$3*(ZVAL*MSASC-RSAG)),(0))</f>
        <v>5.5625873333333313</v>
      </c>
      <c r="DP46" s="256">
        <f>IF(MSASP&gt;0,'Look Ups'!$AI$5*(ZVAL*MSASP-RSAG),0)</f>
        <v>20.44974586666666</v>
      </c>
      <c r="DQ46" s="256">
        <f>IF(MSASC&gt;0,'Look Ups'!$AI$6*(MSASC-RSAG),0)</f>
        <v>1.1125174666666664</v>
      </c>
      <c r="DR46" s="280">
        <f>'Look Ups'!$AI$7*MAX(IF(MSAUSC&gt;0,EUSC/100*(MSAUSC-RSAG),0),IF(CR46="Yes",ELSC/100*(MSASC-RSAG),0))</f>
        <v>0.88482898817966182</v>
      </c>
      <c r="DS46" s="280">
        <f>0.36*RSAM</f>
        <v>14.793476580000002</v>
      </c>
      <c r="DT46" s="296">
        <f>_xlfn.IFS(SPC="MG",RAMG+DS46,SPC="MGScr",RAMG+RASCO,SPC="MGSp",RAMG+RASPO,SPC="MGScrSp",RAMG+RASPSC+RASCR)+RAUSC+RSAST+RSAD+RSAMZ+RSA2M</f>
        <v>84.640442821512991</v>
      </c>
      <c r="DU46" s="63"/>
    </row>
    <row r="47" spans="1:125" ht="15.6" customHeight="1" x14ac:dyDescent="0.3">
      <c r="A47" s="4"/>
      <c r="B47" s="377"/>
      <c r="C47" s="64" t="s">
        <v>272</v>
      </c>
      <c r="D47" s="85" t="s">
        <v>273</v>
      </c>
      <c r="E47" s="86" t="s">
        <v>274</v>
      </c>
      <c r="F47" s="252">
        <f ca="1">IF(RW=0,0,ROUND(DLF*0.93*RL^LF*RSA^0.4/RW^0.325,3))</f>
        <v>0.81299999999999994</v>
      </c>
      <c r="G47" s="252" t="str">
        <f ca="1">IF(OR(FLSCR="ERROR",FLSPI="ERROR"),"No",IF(TODAY()-'Look Ups'!$D$4*365&gt;I47,"WP Applied","Yes"))</f>
        <v>Yes</v>
      </c>
      <c r="H47" s="253" t="str">
        <f>IF(SPC="","",CONCATENATE("Main-Genoa",IF(FLSCR="valid",IF(OR(CR47="Yes",MSAUSC&gt;0),"-Screacher (Upwind)","-Screacher"),""),IF(FLSPI="valid","-Spinnaker",""),IF(RSAMZ&gt;0,"-Mizzen",""),IF(RSA2M&gt;0,"-Second Main",""),IF(AS&gt;0,"-Staysail",""),IF(AD&gt;0,"-Drifter","")))</f>
        <v>Main-Genoa-Screacher (Upwind)-Spinnaker</v>
      </c>
      <c r="I47" s="1">
        <v>43142</v>
      </c>
      <c r="J47" s="1">
        <v>43142</v>
      </c>
      <c r="K47" s="87" t="s">
        <v>275</v>
      </c>
      <c r="L47" s="87" t="s">
        <v>142</v>
      </c>
      <c r="M47" s="207"/>
      <c r="N47" s="97" t="s">
        <v>143</v>
      </c>
      <c r="O47" s="97" t="s">
        <v>154</v>
      </c>
      <c r="P47" s="100">
        <v>5.9</v>
      </c>
      <c r="Q47" s="90">
        <v>9.42</v>
      </c>
      <c r="R47" s="87"/>
      <c r="S47" s="256">
        <f>IF((LOAA&gt;LOA),0.025*LOAA,0.025*LOA)</f>
        <v>0.23550000000000001</v>
      </c>
      <c r="T47" s="117">
        <v>0.05</v>
      </c>
      <c r="U47" s="117">
        <v>0</v>
      </c>
      <c r="V47" s="258">
        <f>IF((_xlfn.SINGLE(LOAA)&gt;_xlfn.SINGLE(LOA)),_xlfn.SINGLE(LOAA),_xlfn.SINGLE(LOA)-_xlfn.SINGLE(FOC)-_xlfn.SINGLE(AOC))</f>
        <v>9.3699999999999992</v>
      </c>
      <c r="W47" s="259">
        <f>IF(RL&gt;0,IF(RL&gt;'Look Ups'!Y$7,'Look Ups'!Y$8,('Look Ups'!Y$3*RL^3+'Look Ups'!Y$4*RL^2+'Look Ups'!Y$5*RL+'Look Ups'!Y$6)),0)</f>
        <v>0.29744701944900004</v>
      </c>
      <c r="X47" s="92">
        <v>2620</v>
      </c>
      <c r="Y47" s="263">
        <f ca="1">IF(WDATE&lt;(TODAY()-'Look Ups'!$D$4*365),-WM*'Look Ups'!$D$5/100,0)</f>
        <v>0</v>
      </c>
      <c r="Z47" s="103"/>
      <c r="AA47" s="109"/>
      <c r="AB47" s="363"/>
      <c r="AC47" s="268">
        <f>WCD+NC*'Look Ups'!$AF$3</f>
        <v>0</v>
      </c>
      <c r="AD47" s="268">
        <f ca="1">IF(RL&lt;'Look Ups'!AM$3,'Look Ups'!AM$4,IF(RL&gt;'Look Ups'!AM$5,'Look Ups'!AM$6,(RL-'Look Ups'!AM$3)/('Look Ups'!AM$5-'Look Ups'!AM$3)*('Look Ups'!AM$6-'Look Ups'!AM$4)+'Look Ups'!AM$4))/100*WS</f>
        <v>531.62181818181818</v>
      </c>
      <c r="AE47" s="269">
        <f ca="1">WM+WP+WE</f>
        <v>2620</v>
      </c>
      <c r="AF47" s="267">
        <f ca="1">_xlfn.SINGLE(WS)+IF(_xlfn.SINGLE(TCW)&gt;=_xlfn.SINGLE(CWA),_xlfn.SINGLE(CWA),_xlfn.SINGLE(TCW))</f>
        <v>2620</v>
      </c>
      <c r="AG47" s="94" t="s">
        <v>145</v>
      </c>
      <c r="AH47" s="95" t="s">
        <v>146</v>
      </c>
      <c r="AI47" s="96" t="s">
        <v>147</v>
      </c>
      <c r="AJ47" s="218"/>
      <c r="AK47" s="273">
        <f>IF(C47="",0,VLOOKUP(AG47,'Look Ups'!$F$3:$G$6,2,0)*VLOOKUP(AH47,'Look Ups'!$I$3:$J$5,2,0)*VLOOKUP(AI47,'Look Ups'!$L$3:$M$7,2,0)*IF(AJ47="",1,VLOOKUP(AJ47,'Look Ups'!$O$3:$P$4,2,0)))</f>
        <v>1</v>
      </c>
      <c r="AL47" s="83">
        <v>12.045</v>
      </c>
      <c r="AM47" s="91">
        <v>12.09</v>
      </c>
      <c r="AN47" s="91">
        <v>4.2549999999999999</v>
      </c>
      <c r="AO47" s="91">
        <v>1.375</v>
      </c>
      <c r="AP47" s="91">
        <v>0.43</v>
      </c>
      <c r="AQ47" s="91">
        <v>11.512</v>
      </c>
      <c r="AR47" s="91">
        <v>0.16</v>
      </c>
      <c r="AS47" s="91">
        <v>4.4400000000000004</v>
      </c>
      <c r="AT47" s="91">
        <v>0.04</v>
      </c>
      <c r="AU47" s="91">
        <v>0.56000000000000005</v>
      </c>
      <c r="AV47" s="91" t="s">
        <v>148</v>
      </c>
      <c r="AW47" s="97">
        <v>0</v>
      </c>
      <c r="AX47" s="256">
        <f>P+ER</f>
        <v>11.552</v>
      </c>
      <c r="AY47" s="256">
        <f>P*0.375*MC</f>
        <v>2.4175200000000001</v>
      </c>
      <c r="AZ47" s="275">
        <f>IF(C47="",0,(0.5*(_ML1*LPM)+0.5*(_ML1*HB)+0.66*(P*PR)+0.66*(_ML2*RDM)+0.66*(E*ER))*VLOOKUP(BATT,'Look Ups'!$U$3:$V$4,2,0))</f>
        <v>38.670700199999999</v>
      </c>
      <c r="BA47" s="98"/>
      <c r="BB47" s="99"/>
      <c r="BC47" s="83">
        <v>10.44</v>
      </c>
      <c r="BD47" s="91">
        <v>3.1880000000000002</v>
      </c>
      <c r="BE47" s="91">
        <v>4.17</v>
      </c>
      <c r="BF47" s="91">
        <v>7.0000000000000007E-2</v>
      </c>
      <c r="BG47" s="91">
        <v>9.3800000000000008</v>
      </c>
      <c r="BH47" s="91"/>
      <c r="BI47" s="91"/>
      <c r="BJ47" s="91">
        <v>-7.8E-2</v>
      </c>
      <c r="BK47" s="91">
        <v>0.105</v>
      </c>
      <c r="BL47" s="97"/>
      <c r="BM47" s="275">
        <f>(0.5*LL*LPG)+(0.5*_LG1*HG)+(0.66*LL*LLRG)+(0.66*FG*FRG)+(IF((HG&gt;0),(0.66*_LG2*LRG),(0.66*_LG1*LRG)))</f>
        <v>17.074623599999999</v>
      </c>
      <c r="BN47" s="282"/>
      <c r="BO47" s="283"/>
      <c r="BP47" s="284"/>
      <c r="BQ47" s="284"/>
      <c r="BR47" s="283"/>
      <c r="BS47" s="284"/>
      <c r="BT47" s="284"/>
      <c r="BU47" s="280">
        <f>(0.5*LLS*LPS)+(0.66*LLS*LLRS)+(0.66*LS*LRS)+(0.66*FS*FRS)</f>
        <v>0</v>
      </c>
      <c r="BV47" s="285"/>
      <c r="BW47" s="283"/>
      <c r="BX47" s="283"/>
      <c r="BY47" s="283"/>
      <c r="BZ47" s="283"/>
      <c r="CA47" s="283"/>
      <c r="CB47" s="283"/>
      <c r="CC47" s="275">
        <f>(0.5*LLD*LPD)+(0.66*LLD*LLRD)+(0.66*LCHD*LRD)+(0.66*FD*FRD)</f>
        <v>0</v>
      </c>
      <c r="CD47" s="98">
        <v>8.6199999999999992</v>
      </c>
      <c r="CE47" s="91">
        <v>13.78</v>
      </c>
      <c r="CF47" s="91">
        <v>12.18</v>
      </c>
      <c r="CG47" s="91">
        <v>7.48</v>
      </c>
      <c r="CH47" s="266">
        <f>IF(SF&gt;0,SMG/SF*100,"")</f>
        <v>86.77494199535964</v>
      </c>
      <c r="CI47" s="283"/>
      <c r="CJ47" s="280">
        <f>SF*(_SL1+_SL2)/4+(SMG-SF/2)*(_SL1+_SL2)/3</f>
        <v>83.374866666666676</v>
      </c>
      <c r="CK47" s="83">
        <v>7.58</v>
      </c>
      <c r="CL47" s="91">
        <v>11.79</v>
      </c>
      <c r="CM47" s="91">
        <v>10.62</v>
      </c>
      <c r="CN47" s="91">
        <v>3.79</v>
      </c>
      <c r="CO47" s="256">
        <f>IF(SCRF&gt;0,SCRMG/SCRF*100,"")</f>
        <v>50</v>
      </c>
      <c r="CP47" s="283"/>
      <c r="CQ47" s="256">
        <f>SCRF*(SCRL1+SCRL2)/4+(SCRMG-SCRF/2)*(SCRL1+SCRL2)/3</f>
        <v>42.466949999999997</v>
      </c>
      <c r="CR47" s="256" t="str">
        <f>IF(CO47&lt;'Look Ups'!$AC$4,"Yes","No")</f>
        <v>Yes</v>
      </c>
      <c r="CS47" s="267">
        <f>IF(CR47="Yes",MIN(150,('Look Ups'!$AC$4-PSCR)/('Look Ups'!$AC$4-'Look Ups'!$AC$3)*100),0)</f>
        <v>40</v>
      </c>
      <c r="CT47" s="83"/>
      <c r="CU47" s="91"/>
      <c r="CV47" s="91"/>
      <c r="CW47" s="91"/>
      <c r="CX47" s="256" t="str">
        <f>IF(USCRF&gt;0,USCRMG/USCRF*100,"")</f>
        <v/>
      </c>
      <c r="CY47" s="293">
        <f>IF(PUSCR&lt;'Look Ups'!$AC$4,MIN(150,('Look Ups'!$AC$4-PUSCR)/('Look Ups'!$AC$4-'Look Ups'!$AC$3)*100),0)</f>
        <v>0</v>
      </c>
      <c r="CZ47" s="275">
        <f>IF(PUSCR&lt;'Look Ups'!$AC$4,USCRF*(USCRL1+USCRL2)/4+(USCRMG-USCRF/2)*(USCRL1+USCRL2)/3,0)</f>
        <v>0</v>
      </c>
      <c r="DA47" s="294">
        <f>IF(ZVAL=1,1,IF(LPM&gt;0,0.64*((AM+MAM)/(E+(MC/2))^2)^0.3,0))</f>
        <v>1</v>
      </c>
      <c r="DB47" s="256">
        <f>0.65*((AM+MAM)*EFM)+0.35*((AM+MAM)*ZVAL)</f>
        <v>41.088220200000002</v>
      </c>
      <c r="DC47" s="256">
        <f>IF(ZVAL=1,1,IF(LPG&gt;0,0.72*(AG/(LPG^2))^0.3,0))</f>
        <v>1</v>
      </c>
      <c r="DD47" s="256">
        <f>AG*EFG</f>
        <v>17.074623599999999</v>
      </c>
      <c r="DE47" s="256">
        <f>IF(AZ47&gt;0,'Look Ups'!$S$3,0)</f>
        <v>1</v>
      </c>
      <c r="DF47" s="256">
        <f>IF(LPS&gt;0,0.72*(AS/(LPS^2))^0.3,0)</f>
        <v>0</v>
      </c>
      <c r="DG47" s="256">
        <f>EFS*AS</f>
        <v>0</v>
      </c>
      <c r="DH47" s="256">
        <f>IF(LPD&gt;0,0.72*(AD/(LPD^2))^0.3,0)</f>
        <v>0</v>
      </c>
      <c r="DI47" s="280">
        <f>IF((AD-AG)&gt;0,0.3*(AD-AG)*EFD,0)</f>
        <v>0</v>
      </c>
      <c r="DJ47" s="295" t="str">
        <f>IF((SCRF=0),"-",IF(AND(MSASC&gt;AG,SCRMG&lt;(0.75*SCRF)),"valid","ERROR"))</f>
        <v>valid</v>
      </c>
      <c r="DK47" s="266" t="str">
        <f>IF((SF=0),"-",IF((SMG&lt;(0.75*SF)),"ERROR",IF(AND(MSASP&gt;MSASC,MSASP&gt;AG,MSASP&gt;=0.36*RSAM),"valid","Small")))</f>
        <v>valid</v>
      </c>
      <c r="DL47" s="267" t="str">
        <f>IF(C47="","",CONCATENATE("MG",IF(FLSCR="valid","Scr",""),IF(FLSPI="valid","SP","")))</f>
        <v>MGScrSP</v>
      </c>
      <c r="DM47" s="294">
        <f>RSAM+RSAG</f>
        <v>58.162843800000005</v>
      </c>
      <c r="DN47" s="256">
        <f>IF(MSASP&gt;0,'Look Ups'!$AI$4*(ZVAL*MSASP-RSAG),0)</f>
        <v>19.890072920000005</v>
      </c>
      <c r="DO47" s="256">
        <f>IF(AND(MSASC&gt;0,(MSASC&gt;=0.36*RSAM)),('Look Ups'!$AI$3*(ZVAL*MSASC-RSAG)),(0))</f>
        <v>8.8873142399999985</v>
      </c>
      <c r="DP47" s="256">
        <f>IF(MSASP&gt;0,'Look Ups'!$AI$5*(ZVAL*MSASP-RSAG),0)</f>
        <v>18.564068058666674</v>
      </c>
      <c r="DQ47" s="256">
        <f>IF(MSASC&gt;0,'Look Ups'!$AI$6*(MSASC-RSAG),0)</f>
        <v>1.7774628480000001</v>
      </c>
      <c r="DR47" s="280">
        <f>'Look Ups'!$AI$7*MAX(IF(MSAUSC&gt;0,EUSC/100*(MSAUSC-RSAG),0),IF(CR47="Yes",ELSC/100*(MSASC-RSAG),0))</f>
        <v>2.5392326399999998</v>
      </c>
      <c r="DS47" s="280">
        <f>0.36*RSAM</f>
        <v>14.791759272</v>
      </c>
      <c r="DT47" s="296">
        <f>_xlfn.IFS(SPC="MG",RAMG+DS47,SPC="MGScr",RAMG+RASCO,SPC="MGSp",RAMG+RASPO,SPC="MGScrSp",RAMG+RASPSC+RASCR)+RAUSC+RSAST+RSAD+RSAMZ+RSA2M</f>
        <v>81.043607346666676</v>
      </c>
      <c r="DU47" s="107"/>
    </row>
    <row r="48" spans="1:125" ht="15.6" customHeight="1" x14ac:dyDescent="0.3">
      <c r="A48" s="110"/>
      <c r="B48" s="64"/>
      <c r="C48" s="64" t="s">
        <v>1173</v>
      </c>
      <c r="D48" s="101" t="s">
        <v>319</v>
      </c>
      <c r="E48" s="86" t="s">
        <v>1179</v>
      </c>
      <c r="F48" s="252">
        <f ca="1">IF(RW=0,0,ROUND(DLF*0.93*RL^LF*RSA^0.4/RW^0.325,3))</f>
        <v>0.99</v>
      </c>
      <c r="G48" s="252" t="str">
        <f ca="1">IF(OR(FLSCR="ERROR",FLSPI="ERROR"),"No",IF(TODAY()-'Look Ups'!$D$4*365&gt;I48,"WP Applied","Yes"))</f>
        <v>Yes</v>
      </c>
      <c r="H48" s="253" t="str">
        <f>IF(SPC="","",CONCATENATE("Main-Genoa",IF(FLSCR="valid",IF(OR(CR48="Yes",MSAUSC&gt;0),"-Screacher (Upwind)","-Screacher"),""),IF(FLSPI="valid","-Spinnaker",""),IF(RSAMZ&gt;0,"-Mizzen",""),IF(RSA2M&gt;0,"-Second Main",""),IF(AS&gt;0,"-Staysail",""),IF(AD&gt;0,"-Drifter","")))</f>
        <v>Main-Genoa-Screacher (Upwind)-Spinnaker</v>
      </c>
      <c r="I48" s="1">
        <v>44580</v>
      </c>
      <c r="J48" s="1">
        <v>41077</v>
      </c>
      <c r="K48" s="87" t="s">
        <v>206</v>
      </c>
      <c r="L48" s="87" t="s">
        <v>164</v>
      </c>
      <c r="M48" s="207"/>
      <c r="N48" s="97" t="s">
        <v>165</v>
      </c>
      <c r="O48" s="97"/>
      <c r="P48" s="102"/>
      <c r="Q48" s="90">
        <v>8.5500000000000007</v>
      </c>
      <c r="R48" s="87"/>
      <c r="S48" s="256">
        <f>IF((LOAA&gt;LOA),0.025*LOAA,0.025*LOA)</f>
        <v>0.21375000000000002</v>
      </c>
      <c r="T48" s="91">
        <v>0.02</v>
      </c>
      <c r="U48" s="91"/>
      <c r="V48" s="258">
        <f>IF((_xlfn.SINGLE(LOAA)&gt;_xlfn.SINGLE(LOA)),_xlfn.SINGLE(LOAA),_xlfn.SINGLE(LOA)-_xlfn.SINGLE(FOC)-_xlfn.SINGLE(AOC))</f>
        <v>8.5300000000000011</v>
      </c>
      <c r="W48" s="259">
        <f>IF(RL&gt;0,IF(RL&gt;'Look Ups'!Y$7,'Look Ups'!Y$8,('Look Ups'!Y$3*RL^3+'Look Ups'!Y$4*RL^2+'Look Ups'!Y$5*RL+'Look Ups'!Y$6)),0)</f>
        <v>0.29545120574100003</v>
      </c>
      <c r="X48" s="92">
        <v>1155</v>
      </c>
      <c r="Y48" s="262">
        <f ca="1">IF(WDATE&lt;(TODAY()-'Look Ups'!$D$4*365),-WM*'Look Ups'!$D$5/100,0)</f>
        <v>0</v>
      </c>
      <c r="Z48" s="93"/>
      <c r="AA48" s="93"/>
      <c r="AB48" s="75"/>
      <c r="AC48" s="268">
        <f>WCD+NC*'Look Ups'!$AF$3</f>
        <v>0</v>
      </c>
      <c r="AD48" s="268">
        <f ca="1">IF(RL&lt;'Look Ups'!AM$3,'Look Ups'!AM$4,IF(RL&gt;'Look Ups'!AM$5,'Look Ups'!AM$6,(RL-'Look Ups'!AM$3)/('Look Ups'!AM$5-'Look Ups'!AM$3)*('Look Ups'!AM$6-'Look Ups'!AM$4)+'Look Ups'!AM$4))/100*WS</f>
        <v>269.63999999999993</v>
      </c>
      <c r="AE48" s="266">
        <f ca="1">WM+WP+WE</f>
        <v>1155</v>
      </c>
      <c r="AF48" s="267">
        <f ca="1">_xlfn.SINGLE(WS)+IF(_xlfn.SINGLE(TCW)&gt;=_xlfn.SINGLE(CWA),_xlfn.SINGLE(CWA),_xlfn.SINGLE(TCW))</f>
        <v>1155</v>
      </c>
      <c r="AG48" s="94" t="s">
        <v>145</v>
      </c>
      <c r="AH48" s="95" t="s">
        <v>146</v>
      </c>
      <c r="AI48" s="96" t="s">
        <v>147</v>
      </c>
      <c r="AJ48" s="218"/>
      <c r="AK48" s="273">
        <f>IF(C48="",0,VLOOKUP(AG48,'Look Ups'!$F$3:$G$6,2,0)*VLOOKUP(AH48,'Look Ups'!$I$3:$J$5,2,0)*VLOOKUP(AI48,'Look Ups'!$L$3:$M$7,2,0)*IF(AJ48="",1,VLOOKUP(AJ48,'Look Ups'!$O$3:$P$4,2,0)))</f>
        <v>1</v>
      </c>
      <c r="AL48" s="83">
        <v>12.62</v>
      </c>
      <c r="AM48" s="91">
        <v>12.345000000000001</v>
      </c>
      <c r="AN48" s="91">
        <v>3.53</v>
      </c>
      <c r="AO48" s="91">
        <v>1.4570000000000001</v>
      </c>
      <c r="AP48" s="91">
        <v>0.24</v>
      </c>
      <c r="AQ48" s="91">
        <v>12.397</v>
      </c>
      <c r="AR48" s="91">
        <v>0.11700000000000001</v>
      </c>
      <c r="AS48" s="91">
        <v>3.5960000000000001</v>
      </c>
      <c r="AT48" s="91">
        <v>7.2999999999999995E-2</v>
      </c>
      <c r="AU48" s="91"/>
      <c r="AV48" s="91" t="s">
        <v>148</v>
      </c>
      <c r="AW48" s="97"/>
      <c r="AX48" s="256">
        <f>P+ER</f>
        <v>12.47</v>
      </c>
      <c r="AY48" s="256">
        <f>P*0.375*MC</f>
        <v>0</v>
      </c>
      <c r="AZ48" s="275">
        <f>IF(C48="",0,(0.5*(_ML1*LPM)+0.5*(_ML1*HB)+0.66*(P*PR)+0.66*(_ML2*RDM)+0.66*(E*ER))*VLOOKUP(BATT,'Look Ups'!$U$3:$V$4,2,0))</f>
        <v>34.55396961999999</v>
      </c>
      <c r="BA48" s="98"/>
      <c r="BB48" s="99"/>
      <c r="BC48" s="83">
        <v>10.86</v>
      </c>
      <c r="BD48" s="91">
        <v>2.4649999999999999</v>
      </c>
      <c r="BE48" s="91">
        <v>2.5880000000000001</v>
      </c>
      <c r="BF48" s="91">
        <v>4.2999999999999997E-2</v>
      </c>
      <c r="BG48" s="91">
        <v>10.297000000000001</v>
      </c>
      <c r="BH48" s="91">
        <v>0</v>
      </c>
      <c r="BI48" s="91">
        <v>5.8999999999999997E-2</v>
      </c>
      <c r="BJ48" s="91">
        <v>0.182</v>
      </c>
      <c r="BK48" s="91">
        <v>7.9000000000000001E-2</v>
      </c>
      <c r="BL48" s="97"/>
      <c r="BM48" s="275">
        <f>(0.5*LL*LPG)+(0.5*_LG1*HG)+(0.66*LL*LLRG)+(0.66*FG*FRG)+(IF((HG&gt;0),(0.66*_LG2*LRG),(0.66*_LG1*LRG)))</f>
        <v>14.328399339999999</v>
      </c>
      <c r="BN48" s="282"/>
      <c r="BO48" s="283"/>
      <c r="BP48" s="284"/>
      <c r="BQ48" s="284"/>
      <c r="BR48" s="283"/>
      <c r="BS48" s="284"/>
      <c r="BT48" s="284"/>
      <c r="BU48" s="280">
        <f>(0.5*LLS*LPS)+(0.66*LLS*LLRS)+(0.66*LS*LRS)+(0.66*FS*FRS)</f>
        <v>0</v>
      </c>
      <c r="BV48" s="285"/>
      <c r="BW48" s="283"/>
      <c r="BX48" s="283"/>
      <c r="BY48" s="283"/>
      <c r="BZ48" s="283"/>
      <c r="CA48" s="283"/>
      <c r="CB48" s="283"/>
      <c r="CC48" s="275">
        <f>(0.5*LLD*LPD)+(0.66*LLD*LLRD)+(0.66*LCHD*LRD)+(0.66*FD*FRD)</f>
        <v>0</v>
      </c>
      <c r="CD48" s="98">
        <v>8.3979999999999997</v>
      </c>
      <c r="CE48" s="91">
        <v>15.71</v>
      </c>
      <c r="CF48" s="91">
        <v>13.183999999999999</v>
      </c>
      <c r="CG48" s="91">
        <v>7.4130000000000003</v>
      </c>
      <c r="CH48" s="266">
        <f>IF(SF&gt;0,SMG/SF*100,"")</f>
        <v>88.271016908787814</v>
      </c>
      <c r="CI48" s="286"/>
      <c r="CJ48" s="280">
        <f>SF*(_SL1+_SL2)/4+(SMG-SF/2)*(_SL1+_SL2)/3</f>
        <v>91.618058333333323</v>
      </c>
      <c r="CK48" s="83">
        <v>6.27</v>
      </c>
      <c r="CL48" s="91">
        <v>12.18</v>
      </c>
      <c r="CM48" s="91">
        <v>10.85</v>
      </c>
      <c r="CN48" s="91">
        <v>3.16</v>
      </c>
      <c r="CO48" s="256">
        <f>IF(SCRF&gt;0,SCRMG/SCRF*100,"")</f>
        <v>50.398724082934606</v>
      </c>
      <c r="CP48" s="286"/>
      <c r="CQ48" s="256">
        <f>SCRF*(SCRL1+SCRL2)/4+(SCRMG-SCRF/2)*(SCRL1+SCRL2)/3</f>
        <v>36.291441666666671</v>
      </c>
      <c r="CR48" s="256" t="str">
        <f>IF(CO48&lt;'Look Ups'!$AC$4,"Yes","No")</f>
        <v>Yes</v>
      </c>
      <c r="CS48" s="267">
        <f>IF(CR48="Yes",MIN(150,('Look Ups'!$AC$4-PSCR)/('Look Ups'!$AC$4-'Look Ups'!$AC$3)*100),0)</f>
        <v>32.025518341307873</v>
      </c>
      <c r="CT48" s="83"/>
      <c r="CU48" s="91"/>
      <c r="CV48" s="91"/>
      <c r="CW48" s="91"/>
      <c r="CX48" s="256" t="str">
        <f>IF(USCRF&gt;0,USCRMG/USCRF*100,"")</f>
        <v/>
      </c>
      <c r="CY48" s="293">
        <f>IF(PUSCR&lt;'Look Ups'!$AC$4,MIN(150,('Look Ups'!$AC$4-PUSCR)/('Look Ups'!$AC$4-'Look Ups'!$AC$3)*100),0)</f>
        <v>0</v>
      </c>
      <c r="CZ48" s="275">
        <f>IF(PUSCR&lt;'Look Ups'!$AC$4,USCRF*(USCRL1+USCRL2)/4+(USCRMG-USCRF/2)*(USCRL1+USCRL2)/3,0)</f>
        <v>0</v>
      </c>
      <c r="DA48" s="294">
        <f>IF(ZVAL=1,1,IF(LPM&gt;0,0.64*((AM+MAM)/(E+(MC/2))^2)^0.3,0))</f>
        <v>1</v>
      </c>
      <c r="DB48" s="256">
        <f>0.65*((AM+MAM)*EFM)+0.35*((AM+MAM)*ZVAL)</f>
        <v>34.55396961999999</v>
      </c>
      <c r="DC48" s="256">
        <f>IF(ZVAL=1,1,IF(LPG&gt;0,0.72*(AG/(LPG^2))^0.3,0))</f>
        <v>1</v>
      </c>
      <c r="DD48" s="256">
        <f>AG*EFG</f>
        <v>14.328399339999999</v>
      </c>
      <c r="DE48" s="256">
        <f>IF(AZ48&gt;0,'Look Ups'!$S$3,0)</f>
        <v>1</v>
      </c>
      <c r="DF48" s="256">
        <f>IF(LPS&gt;0,0.72*(AS/(LPS^2))^0.3,0)</f>
        <v>0</v>
      </c>
      <c r="DG48" s="256">
        <f>EFS*AS</f>
        <v>0</v>
      </c>
      <c r="DH48" s="256">
        <f>IF(LPD&gt;0,0.72*(AD/(LPD^2))^0.3,0)</f>
        <v>0</v>
      </c>
      <c r="DI48" s="280">
        <f>IF((AD-AG)&gt;0,0.3*(AD-AG)*EFD,0)</f>
        <v>0</v>
      </c>
      <c r="DJ48" s="295" t="str">
        <f>IF((SCRF=0),"-",IF(AND(MSASC&gt;AG,SCRMG&lt;(0.75*SCRF)),"valid","ERROR"))</f>
        <v>valid</v>
      </c>
      <c r="DK48" s="266" t="str">
        <f>IF((SF=0),"-",IF((SMG&lt;(0.75*SF)),"ERROR",IF(AND(MSASP&gt;MSASC,MSASP&gt;AG,MSASP&gt;=0.36*RSAM),"valid","Small")))</f>
        <v>valid</v>
      </c>
      <c r="DL48" s="267" t="str">
        <f>IF(C48="","",CONCATENATE("MG",IF(FLSCR="valid","Scr",""),IF(FLSPI="valid","SP","")))</f>
        <v>MGScrSP</v>
      </c>
      <c r="DM48" s="294">
        <f>RSAM+RSAG</f>
        <v>48.882368959999987</v>
      </c>
      <c r="DN48" s="256">
        <f>IF(MSASP&gt;0,'Look Ups'!$AI$4*(ZVAL*MSASP-RSAG),0)</f>
        <v>23.186897697999996</v>
      </c>
      <c r="DO48" s="256">
        <f>IF(AND(MSASC&gt;0,(MSASC&gt;=0.36*RSAM)),('Look Ups'!$AI$3*(ZVAL*MSASC-RSAG)),(0))</f>
        <v>7.6870648143333353</v>
      </c>
      <c r="DP48" s="256">
        <f>IF(MSASP&gt;0,'Look Ups'!$AI$5*(ZVAL*MSASP-RSAG),0)</f>
        <v>21.641104518133332</v>
      </c>
      <c r="DQ48" s="256">
        <f>IF(MSASC&gt;0,'Look Ups'!$AI$6*(MSASC-RSAG),0)</f>
        <v>1.5374129628666673</v>
      </c>
      <c r="DR48" s="280">
        <f>'Look Ups'!$AI$7*MAX(IF(MSAUSC&gt;0,EUSC/100*(MSAUSC-RSAG),0),IF(CR48="Yes",ELSC/100*(MSASC-RSAG),0))</f>
        <v>1.7584445371589619</v>
      </c>
      <c r="DS48" s="280">
        <f>0.36*RSAM</f>
        <v>12.439429063199995</v>
      </c>
      <c r="DT48" s="296">
        <f>_xlfn.IFS(SPC="MG",RAMG+DS48,SPC="MGScr",RAMG+RASCO,SPC="MGSp",RAMG+RASPO,SPC="MGScrSp",RAMG+RASPSC+RASCR)+RAUSC+RSAST+RSAD+RSAMZ+RSA2M</f>
        <v>73.819330978158959</v>
      </c>
      <c r="DU48" s="63"/>
    </row>
    <row r="49" spans="1:125" ht="15.6" customHeight="1" x14ac:dyDescent="0.3">
      <c r="A49" s="4"/>
      <c r="B49" s="64"/>
      <c r="C49" s="64" t="s">
        <v>1148</v>
      </c>
      <c r="D49" s="85" t="s">
        <v>1149</v>
      </c>
      <c r="E49" s="86" t="s">
        <v>215</v>
      </c>
      <c r="F49" s="252">
        <f ca="1">IF(RW=0,0,ROUND(DLF*0.93*RL^LF*RSA^0.4/RW^0.325,3))</f>
        <v>1.224</v>
      </c>
      <c r="G49" s="252" t="str">
        <f ca="1">IF(OR(FLSCR="ERROR",FLSPI="ERROR"),"No",IF(TODAY()-'Look Ups'!$D$4*365&gt;I49,"WP Applied","Yes"))</f>
        <v>Yes</v>
      </c>
      <c r="H49" s="253" t="str">
        <f>IF(SPC="","",CONCATENATE("Main-Genoa",IF(FLSCR="valid",IF(OR(CR49="Yes",MSAUSC&gt;0),"-Screacher (Upwind)","-Screacher"),""),IF(FLSPI="valid","-Spinnaker",""),IF(RSAMZ&gt;0,"-Mizzen",""),IF(RSA2M&gt;0,"-Second Main",""),IF(AS&gt;0,"-Staysail",""),IF(AD&gt;0,"-Drifter","")))</f>
        <v>Main-Genoa-Screacher</v>
      </c>
      <c r="I49" s="1">
        <v>45086</v>
      </c>
      <c r="J49" s="1">
        <v>44643</v>
      </c>
      <c r="K49" s="87" t="s">
        <v>1150</v>
      </c>
      <c r="L49" s="87" t="s">
        <v>164</v>
      </c>
      <c r="M49" s="207"/>
      <c r="N49" s="88" t="s">
        <v>165</v>
      </c>
      <c r="O49" s="88" t="s">
        <v>154</v>
      </c>
      <c r="P49" s="100"/>
      <c r="Q49" s="90">
        <v>10</v>
      </c>
      <c r="R49" s="87"/>
      <c r="S49" s="256">
        <f>IF((LOAA&gt;LOA),0.025*LOAA,0.025*LOA)</f>
        <v>0.25</v>
      </c>
      <c r="T49" s="91">
        <v>0</v>
      </c>
      <c r="U49" s="91">
        <v>0</v>
      </c>
      <c r="V49" s="258">
        <f>IF((_xlfn.SINGLE(LOAA)&gt;_xlfn.SINGLE(LOA)),_xlfn.SINGLE(LOAA),_xlfn.SINGLE(LOA)-_xlfn.SINGLE(FOC)-_xlfn.SINGLE(AOC))</f>
        <v>10</v>
      </c>
      <c r="W49" s="259">
        <f>IF(RL&gt;0,IF(RL&gt;'Look Ups'!Y$7,'Look Ups'!Y$8,('Look Ups'!Y$3*RL^3+'Look Ups'!Y$4*RL^2+'Look Ups'!Y$5*RL+'Look Ups'!Y$6)),0)</f>
        <v>0.29850000000000004</v>
      </c>
      <c r="X49" s="92">
        <v>1095</v>
      </c>
      <c r="Y49" s="262">
        <f ca="1">IF(WDATE&lt;(TODAY()-'Look Ups'!$D$4*365),-WM*'Look Ups'!$D$5/100,0)</f>
        <v>0</v>
      </c>
      <c r="Z49" s="93"/>
      <c r="AA49" s="93"/>
      <c r="AB49" s="75"/>
      <c r="AC49" s="268">
        <f>WCD+NC*'Look Ups'!$AF$3</f>
        <v>0</v>
      </c>
      <c r="AD49" s="268">
        <f ca="1">IF(RL&lt;'Look Ups'!AM$3,'Look Ups'!AM$4,IF(RL&gt;'Look Ups'!AM$5,'Look Ups'!AM$6,(RL-'Look Ups'!AM$3)/('Look Ups'!AM$5-'Look Ups'!AM$3)*('Look Ups'!AM$6-'Look Ups'!AM$4)+'Look Ups'!AM$4))/100*WS</f>
        <v>197.1</v>
      </c>
      <c r="AE49" s="266">
        <f ca="1">WM+WP+WE</f>
        <v>1095</v>
      </c>
      <c r="AF49" s="267">
        <f ca="1">_xlfn.SINGLE(WS)+IF(_xlfn.SINGLE(TCW)&gt;=_xlfn.SINGLE(CWA),_xlfn.SINGLE(CWA),_xlfn.SINGLE(TCW))</f>
        <v>1095</v>
      </c>
      <c r="AG49" s="94" t="s">
        <v>145</v>
      </c>
      <c r="AH49" s="95" t="s">
        <v>146</v>
      </c>
      <c r="AI49" s="96" t="s">
        <v>147</v>
      </c>
      <c r="AJ49" s="218"/>
      <c r="AK49" s="273">
        <f>IF(C49="",0,VLOOKUP(AG49,'Look Ups'!$F$3:$G$6,2,0)*VLOOKUP(AH49,'Look Ups'!$I$3:$J$5,2,0)*VLOOKUP(AI49,'Look Ups'!$L$3:$M$7,2,0)*IF(AJ49="",1,VLOOKUP(AJ49,'Look Ups'!$O$3:$P$4,2,0)))</f>
        <v>1</v>
      </c>
      <c r="AL49" s="83">
        <v>16.3</v>
      </c>
      <c r="AM49" s="91">
        <v>15.868</v>
      </c>
      <c r="AN49" s="91">
        <v>4.569</v>
      </c>
      <c r="AO49" s="91">
        <v>2.125</v>
      </c>
      <c r="AP49" s="91">
        <v>0.38100000000000001</v>
      </c>
      <c r="AQ49" s="91">
        <v>15.999000000000001</v>
      </c>
      <c r="AR49" s="91">
        <v>6.2E-2</v>
      </c>
      <c r="AS49" s="91">
        <v>4.6550000000000002</v>
      </c>
      <c r="AT49" s="91">
        <v>1.4999999999999999E-2</v>
      </c>
      <c r="AU49" s="91">
        <v>0.69</v>
      </c>
      <c r="AV49" s="91" t="s">
        <v>148</v>
      </c>
      <c r="AW49" s="97"/>
      <c r="AX49" s="256">
        <f>P+ER</f>
        <v>16.013999999999999</v>
      </c>
      <c r="AY49" s="256">
        <f>P*0.375*MC</f>
        <v>4.1397412499999993</v>
      </c>
      <c r="AZ49" s="275">
        <f>IF(C49="",0,(0.5*(_ML1*LPM)+0.5*(_ML1*HB)+0.66*(P*PR)+0.66*(_ML2*RDM)+0.66*(E*ER))*VLOOKUP(BATT,'Look Ups'!$U$3:$V$4,2,0))</f>
        <v>59.247030860000002</v>
      </c>
      <c r="BA49" s="98"/>
      <c r="BB49" s="99"/>
      <c r="BC49" s="83">
        <v>13.18</v>
      </c>
      <c r="BD49" s="91">
        <v>2.9540000000000002</v>
      </c>
      <c r="BE49" s="91">
        <v>3.1160000000000001</v>
      </c>
      <c r="BF49" s="91">
        <v>8.5000000000000006E-2</v>
      </c>
      <c r="BG49" s="91">
        <v>12.417</v>
      </c>
      <c r="BH49" s="91">
        <v>12.404999999999999</v>
      </c>
      <c r="BI49" s="91">
        <v>0.05</v>
      </c>
      <c r="BJ49" s="91">
        <v>-0.13500000000000001</v>
      </c>
      <c r="BK49" s="91">
        <v>-8.5000000000000006E-2</v>
      </c>
      <c r="BL49" s="97"/>
      <c r="BM49" s="275">
        <f>(0.5*LL*LPG)+(0.5*_LG1*HG)+(0.66*LL*LLRG)+(0.66*FG*FRG)+(IF((HG&gt;0),(0.66*_LG2*LRG),(0.66*_LG1*LRG)))</f>
        <v>18.107409099999998</v>
      </c>
      <c r="BN49" s="282"/>
      <c r="BO49" s="283"/>
      <c r="BP49" s="284"/>
      <c r="BQ49" s="284"/>
      <c r="BR49" s="283"/>
      <c r="BS49" s="284"/>
      <c r="BT49" s="284"/>
      <c r="BU49" s="280">
        <f>(0.5*LLS*LPS)+(0.66*LLS*LLRS)+(0.66*LS*LRS)+(0.66*FS*FRS)</f>
        <v>0</v>
      </c>
      <c r="BV49" s="285"/>
      <c r="BW49" s="283"/>
      <c r="BX49" s="283"/>
      <c r="BY49" s="283"/>
      <c r="BZ49" s="283"/>
      <c r="CA49" s="283"/>
      <c r="CB49" s="283"/>
      <c r="CC49" s="275">
        <f>(0.5*LLD*LPD)+(0.66*LLD*LLRD)+(0.66*LCHD*LRD)+(0.66*FD*FRD)</f>
        <v>0</v>
      </c>
      <c r="CD49" s="98"/>
      <c r="CE49" s="91"/>
      <c r="CF49" s="91"/>
      <c r="CG49" s="91"/>
      <c r="CH49" s="266" t="str">
        <f>IF(SF&gt;0,SMG/SF*100,"")</f>
        <v/>
      </c>
      <c r="CI49" s="283"/>
      <c r="CJ49" s="280">
        <f>SF*(_SL1+_SL2)/4+(SMG-SF/2)*(_SL1+_SL2)/3</f>
        <v>0</v>
      </c>
      <c r="CK49" s="83">
        <v>11.03</v>
      </c>
      <c r="CL49" s="91">
        <v>15.351000000000001</v>
      </c>
      <c r="CM49" s="91">
        <v>14.462</v>
      </c>
      <c r="CN49" s="91">
        <v>5.8529999999999998</v>
      </c>
      <c r="CO49" s="256">
        <f>IF(SCRF&gt;0,SCRMG/SCRF*100,"")</f>
        <v>53.064369900271991</v>
      </c>
      <c r="CP49" s="283"/>
      <c r="CQ49" s="256">
        <f>SCRF*(SCRL1+SCRL2)/4+(SCRMG-SCRF/2)*(SCRL1+SCRL2)/3</f>
        <v>85.568278833333338</v>
      </c>
      <c r="CR49" s="256" t="str">
        <f>IF(CO49&lt;'Look Ups'!$AC$4,"Yes","No")</f>
        <v>No</v>
      </c>
      <c r="CS49" s="267">
        <f>IF(CR49="Yes",MIN(150,('Look Ups'!$AC$4-PSCR)/('Look Ups'!$AC$4-'Look Ups'!$AC$3)*100),0)</f>
        <v>0</v>
      </c>
      <c r="CT49" s="83"/>
      <c r="CU49" s="91"/>
      <c r="CV49" s="91"/>
      <c r="CW49" s="91"/>
      <c r="CX49" s="256" t="str">
        <f>IF(USCRF&gt;0,USCRMG/USCRF*100,"")</f>
        <v/>
      </c>
      <c r="CY49" s="293">
        <f>IF(PUSCR&lt;'Look Ups'!$AC$4,MIN(150,('Look Ups'!$AC$4-PUSCR)/('Look Ups'!$AC$4-'Look Ups'!$AC$3)*100),0)</f>
        <v>0</v>
      </c>
      <c r="CZ49" s="275">
        <f>IF(PUSCR&lt;'Look Ups'!$AC$4,USCRF*(USCRL1+USCRL2)/4+(USCRMG-USCRF/2)*(USCRL1+USCRL2)/3,0)</f>
        <v>0</v>
      </c>
      <c r="DA49" s="294">
        <f>IF(ZVAL=1,1,IF(LPM&gt;0,0.64*((AM+MAM)/(E+(MC/2))^2)^0.3,0))</f>
        <v>1</v>
      </c>
      <c r="DB49" s="256">
        <f>0.65*((AM+MAM)*EFM)+0.35*((AM+MAM)*ZVAL)</f>
        <v>63.386772110000003</v>
      </c>
      <c r="DC49" s="256">
        <f>IF(ZVAL=1,1,IF(LPG&gt;0,0.72*(AG/(LPG^2))^0.3,0))</f>
        <v>1</v>
      </c>
      <c r="DD49" s="256">
        <f>AG*EFG</f>
        <v>18.107409099999998</v>
      </c>
      <c r="DE49" s="256">
        <f>IF(AZ49&gt;0,'Look Ups'!$S$3,0)</f>
        <v>1</v>
      </c>
      <c r="DF49" s="256">
        <f>IF(LPS&gt;0,0.72*(AS/(LPS^2))^0.3,0)</f>
        <v>0</v>
      </c>
      <c r="DG49" s="256">
        <f>EFS*AS</f>
        <v>0</v>
      </c>
      <c r="DH49" s="256">
        <f>IF(LPD&gt;0,0.72*(AD/(LPD^2))^0.3,0)</f>
        <v>0</v>
      </c>
      <c r="DI49" s="280">
        <f>IF((AD-AG)&gt;0,0.3*(AD-AG)*EFD,0)</f>
        <v>0</v>
      </c>
      <c r="DJ49" s="295" t="str">
        <f>IF((SCRF=0),"-",IF(AND(MSASC&gt;AG,SCRMG&lt;(0.75*SCRF)),"valid","ERROR"))</f>
        <v>valid</v>
      </c>
      <c r="DK49" s="266" t="str">
        <f>IF((SF=0),"-",IF((SMG&lt;(0.75*SF)),"ERROR",IF(AND(MSASP&gt;MSASC,MSASP&gt;AG,MSASP&gt;=0.36*RSAM),"valid","Small")))</f>
        <v>-</v>
      </c>
      <c r="DL49" s="267" t="str">
        <f>IF(C49="","",CONCATENATE("MG",IF(FLSCR="valid","Scr",""),IF(FLSPI="valid","SP","")))</f>
        <v>MGScr</v>
      </c>
      <c r="DM49" s="294">
        <f>RSAM+RSAG</f>
        <v>81.494181209999994</v>
      </c>
      <c r="DN49" s="256">
        <f>IF(MSASP&gt;0,'Look Ups'!$AI$4*(ZVAL*MSASP-RSAG),0)</f>
        <v>0</v>
      </c>
      <c r="DO49" s="256">
        <f>IF(AND(MSASC&gt;0,(MSASC&gt;=0.36*RSAM)),('Look Ups'!$AI$3*(ZVAL*MSASC-RSAG)),(0))</f>
        <v>23.611304406666669</v>
      </c>
      <c r="DP49" s="256">
        <f>IF(MSASP&gt;0,'Look Ups'!$AI$5*(ZVAL*MSASP-RSAG),0)</f>
        <v>0</v>
      </c>
      <c r="DQ49" s="256">
        <f>IF(MSASC&gt;0,'Look Ups'!$AI$6*(MSASC-RSAG),0)</f>
        <v>4.7222608813333347</v>
      </c>
      <c r="DR49" s="280">
        <f>'Look Ups'!$AI$7*MAX(IF(MSAUSC&gt;0,EUSC/100*(MSAUSC-RSAG),0),IF(CR49="Yes",ELSC/100*(MSASC-RSAG),0))</f>
        <v>0</v>
      </c>
      <c r="DS49" s="280">
        <f>0.36*RSAM</f>
        <v>22.819237959599999</v>
      </c>
      <c r="DT49" s="296">
        <f>_xlfn.IFS(SPC="MG",RAMG+DS49,SPC="MGScr",RAMG+RASCO,SPC="MGSp",RAMG+RASPO,SPC="MGScrSp",RAMG+RASPSC+RASCR)+RAUSC+RSAST+RSAD+RSAMZ+RSA2M</f>
        <v>105.10548561666667</v>
      </c>
      <c r="DU49" s="63"/>
    </row>
    <row r="50" spans="1:125" ht="15.6" customHeight="1" x14ac:dyDescent="0.3">
      <c r="A50" s="110"/>
      <c r="B50" s="64"/>
      <c r="C50" s="64" t="s">
        <v>280</v>
      </c>
      <c r="D50" s="85" t="s">
        <v>281</v>
      </c>
      <c r="E50" s="86" t="s">
        <v>282</v>
      </c>
      <c r="F50" s="252">
        <f ca="1">IF(RW=0,0,ROUND(DLF*0.93*RL^LF*RSA^0.4/RW^0.325,3))</f>
        <v>0.78300000000000003</v>
      </c>
      <c r="G50" s="252" t="str">
        <f ca="1">IF(OR(FLSCR="ERROR",FLSPI="ERROR"),"No",IF(TODAY()-'Look Ups'!$D$4*365&gt;I50,"WP Applied","Yes"))</f>
        <v>Yes</v>
      </c>
      <c r="H50" s="253" t="str">
        <f>IF(SPC="","",CONCATENATE("Main-Genoa",IF(FLSCR="valid",IF(OR(CR50="Yes",MSAUSC&gt;0),"-Screacher (Upwind)","-Screacher"),""),IF(FLSPI="valid","-Spinnaker",""),IF(RSAMZ&gt;0,"-Mizzen",""),IF(RSA2M&gt;0,"-Second Main",""),IF(AS&gt;0,"-Staysail",""),IF(AD&gt;0,"-Drifter","")))</f>
        <v>Main-Genoa-Screacher (Upwind)-Spinnaker</v>
      </c>
      <c r="I50" s="108">
        <v>45115</v>
      </c>
      <c r="J50" s="1">
        <v>45124</v>
      </c>
      <c r="K50" s="87" t="s">
        <v>1135</v>
      </c>
      <c r="L50" s="87" t="s">
        <v>245</v>
      </c>
      <c r="M50" s="207"/>
      <c r="N50" s="97" t="s">
        <v>143</v>
      </c>
      <c r="O50" s="97"/>
      <c r="P50" s="89">
        <v>5.5</v>
      </c>
      <c r="Q50" s="90">
        <v>7.42</v>
      </c>
      <c r="R50" s="87"/>
      <c r="S50" s="256">
        <f>IF((LOAA&gt;LOA),0.025*LOAA,0.025*LOA)</f>
        <v>0.1855</v>
      </c>
      <c r="T50" s="117">
        <v>0.23</v>
      </c>
      <c r="U50" s="117">
        <v>0</v>
      </c>
      <c r="V50" s="258">
        <f>IF((_xlfn.SINGLE(LOAA)&gt;_xlfn.SINGLE(LOA)),_xlfn.SINGLE(LOAA),_xlfn.SINGLE(LOA)-_xlfn.SINGLE(FOC)-_xlfn.SINGLE(AOC))</f>
        <v>7.1899999999999995</v>
      </c>
      <c r="W50" s="259">
        <f>IF(RL&gt;0,IF(RL&gt;'Look Ups'!Y$7,'Look Ups'!Y$8,('Look Ups'!Y$3*RL^3+'Look Ups'!Y$4*RL^2+'Look Ups'!Y$5*RL+'Look Ups'!Y$6)),0)</f>
        <v>0.29059639364700002</v>
      </c>
      <c r="X50" s="92">
        <v>1110</v>
      </c>
      <c r="Y50" s="262">
        <f ca="1">IF(WDATE&lt;(TODAY()-'Look Ups'!$D$4*365),-WM*'Look Ups'!$D$5/100,0)</f>
        <v>0</v>
      </c>
      <c r="Z50" s="93"/>
      <c r="AA50" s="93"/>
      <c r="AB50" s="75"/>
      <c r="AC50" s="268">
        <f>WCD+NC*'Look Ups'!$AF$3</f>
        <v>0</v>
      </c>
      <c r="AD50" s="268">
        <f ca="1">IF(RL&lt;'Look Ups'!AM$3,'Look Ups'!AM$4,IF(RL&gt;'Look Ups'!AM$5,'Look Ups'!AM$6,(RL-'Look Ups'!AM$3)/('Look Ups'!AM$5-'Look Ups'!AM$3)*('Look Ups'!AM$6-'Look Ups'!AM$4)+'Look Ups'!AM$4))/100*WS</f>
        <v>313.22181818181821</v>
      </c>
      <c r="AE50" s="266">
        <f ca="1">WM+WP+WE</f>
        <v>1110</v>
      </c>
      <c r="AF50" s="267">
        <f ca="1">_xlfn.SINGLE(WS)+IF(_xlfn.SINGLE(TCW)&gt;=_xlfn.SINGLE(CWA),_xlfn.SINGLE(CWA),_xlfn.SINGLE(TCW))</f>
        <v>1110</v>
      </c>
      <c r="AG50" s="94" t="s">
        <v>145</v>
      </c>
      <c r="AH50" s="95" t="s">
        <v>146</v>
      </c>
      <c r="AI50" s="96" t="s">
        <v>147</v>
      </c>
      <c r="AJ50" s="218"/>
      <c r="AK50" s="273">
        <f>IF(C50="",0,VLOOKUP(AG50,'Look Ups'!$F$3:$G$6,2,0)*VLOOKUP(AH50,'Look Ups'!$I$3:$J$5,2,0)*VLOOKUP(AI50,'Look Ups'!$L$3:$M$7,2,0)*IF(AJ50="",1,VLOOKUP(AJ50,'Look Ups'!$O$3:$P$4,2,0)))</f>
        <v>1</v>
      </c>
      <c r="AL50" s="83">
        <v>9.49</v>
      </c>
      <c r="AM50" s="91">
        <v>9.24</v>
      </c>
      <c r="AN50" s="91">
        <v>3.26</v>
      </c>
      <c r="AO50" s="91">
        <v>1</v>
      </c>
      <c r="AP50" s="91">
        <v>0.47</v>
      </c>
      <c r="AQ50" s="91">
        <v>8.85</v>
      </c>
      <c r="AR50" s="91">
        <v>0.03</v>
      </c>
      <c r="AS50" s="91">
        <v>3.47</v>
      </c>
      <c r="AT50" s="91">
        <v>0.01</v>
      </c>
      <c r="AU50" s="91">
        <v>0.4</v>
      </c>
      <c r="AV50" s="91" t="s">
        <v>148</v>
      </c>
      <c r="AW50" s="97">
        <v>0</v>
      </c>
      <c r="AX50" s="256">
        <f>P+ER</f>
        <v>8.86</v>
      </c>
      <c r="AY50" s="256">
        <f>P*0.375*MC</f>
        <v>1.3274999999999999</v>
      </c>
      <c r="AZ50" s="275">
        <f>IF(C50="",0,(0.5*(_ML1*LPM)+0.5*(_ML1*HB)+0.66*(P*PR)+0.66*(_ML2*RDM)+0.66*(E*ER))*VLOOKUP(BATT,'Look Ups'!$U$3:$V$4,2,0))</f>
        <v>23.278079999999996</v>
      </c>
      <c r="BA50" s="98"/>
      <c r="BB50" s="99"/>
      <c r="BC50" s="83">
        <v>8.0500000000000007</v>
      </c>
      <c r="BD50" s="91">
        <v>2.72</v>
      </c>
      <c r="BE50" s="91">
        <v>2.99</v>
      </c>
      <c r="BF50" s="91">
        <v>0.05</v>
      </c>
      <c r="BG50" s="91">
        <v>7.18</v>
      </c>
      <c r="BH50" s="91">
        <v>7.15</v>
      </c>
      <c r="BI50" s="91">
        <v>7.0000000000000007E-2</v>
      </c>
      <c r="BJ50" s="91">
        <v>0.06</v>
      </c>
      <c r="BK50" s="91">
        <v>0.04</v>
      </c>
      <c r="BL50" s="97"/>
      <c r="BM50" s="275">
        <f>(0.5*LL*LPG)+(0.5*_LG1*HG)+(0.66*LL*LLRG)+(0.66*FG*FRG)+(IF((HG&gt;0),(0.66*_LG2*LRG),(0.66*_LG1*LRG)))</f>
        <v>11.793630000000002</v>
      </c>
      <c r="BN50" s="282"/>
      <c r="BO50" s="283"/>
      <c r="BP50" s="284"/>
      <c r="BQ50" s="284"/>
      <c r="BR50" s="283"/>
      <c r="BS50" s="284"/>
      <c r="BT50" s="284"/>
      <c r="BU50" s="280">
        <f>(0.5*LLS*LPS)+(0.66*LLS*LLRS)+(0.66*LS*LRS)+(0.66*FS*FRS)</f>
        <v>0</v>
      </c>
      <c r="BV50" s="285"/>
      <c r="BW50" s="283"/>
      <c r="BX50" s="283"/>
      <c r="BY50" s="283"/>
      <c r="BZ50" s="283"/>
      <c r="CA50" s="283"/>
      <c r="CB50" s="283"/>
      <c r="CC50" s="275">
        <f>(0.5*LLD*LPD)+(0.66*LLD*LLRD)+(0.66*LCHD*LRD)+(0.66*FD*FRD)</f>
        <v>0</v>
      </c>
      <c r="CD50" s="98">
        <v>5.58</v>
      </c>
      <c r="CE50" s="91">
        <v>9.75</v>
      </c>
      <c r="CF50" s="91">
        <v>9.0299999999999994</v>
      </c>
      <c r="CG50" s="91">
        <v>5.28</v>
      </c>
      <c r="CH50" s="266">
        <f>IF(SF&gt;0,SMG/SF*100,"")</f>
        <v>94.623655913978496</v>
      </c>
      <c r="CI50" s="283"/>
      <c r="CJ50" s="280">
        <f>SF*(_SL1+_SL2)/4+(SMG-SF/2)*(_SL1+_SL2)/3</f>
        <v>41.785499999999999</v>
      </c>
      <c r="CK50" s="83">
        <v>5.38</v>
      </c>
      <c r="CL50" s="91">
        <v>8.98</v>
      </c>
      <c r="CM50" s="91">
        <v>6.9</v>
      </c>
      <c r="CN50" s="91">
        <v>2.72</v>
      </c>
      <c r="CO50" s="256">
        <f>IF(SCRF&gt;0,SCRMG/SCRF*100,"")</f>
        <v>50.557620817843876</v>
      </c>
      <c r="CP50" s="283"/>
      <c r="CQ50" s="256">
        <f>SCRF*(SCRL1+SCRL2)/4+(SCRMG-SCRF/2)*(SCRL1+SCRL2)/3</f>
        <v>21.517400000000002</v>
      </c>
      <c r="CR50" s="256" t="str">
        <f>IF(CO50&lt;'Look Ups'!$AC$4,"Yes","No")</f>
        <v>Yes</v>
      </c>
      <c r="CS50" s="267">
        <f>IF(CR50="Yes",MIN(150,('Look Ups'!$AC$4-PSCR)/('Look Ups'!$AC$4-'Look Ups'!$AC$3)*100),0)</f>
        <v>28.847583643122476</v>
      </c>
      <c r="CT50" s="83"/>
      <c r="CU50" s="91"/>
      <c r="CV50" s="91"/>
      <c r="CW50" s="91"/>
      <c r="CX50" s="256" t="str">
        <f>IF(USCRF&gt;0,USCRMG/USCRF*100,"")</f>
        <v/>
      </c>
      <c r="CY50" s="293">
        <f>IF(PUSCR&lt;'Look Ups'!$AC$4,MIN(150,('Look Ups'!$AC$4-PUSCR)/('Look Ups'!$AC$4-'Look Ups'!$AC$3)*100),0)</f>
        <v>0</v>
      </c>
      <c r="CZ50" s="275">
        <f>IF(PUSCR&lt;'Look Ups'!$AC$4,USCRF*(USCRL1+USCRL2)/4+(USCRMG-USCRF/2)*(USCRL1+USCRL2)/3,0)</f>
        <v>0</v>
      </c>
      <c r="DA50" s="294">
        <f>IF(ZVAL=1,1,IF(LPM&gt;0,0.64*((AM+MAM)/(E+(MC/2))^2)^0.3,0))</f>
        <v>1</v>
      </c>
      <c r="DB50" s="256">
        <f>0.65*((AM+MAM)*EFM)+0.35*((AM+MAM)*ZVAL)</f>
        <v>24.605579999999996</v>
      </c>
      <c r="DC50" s="256">
        <f>IF(ZVAL=1,1,IF(LPG&gt;0,0.72*(AG/(LPG^2))^0.3,0))</f>
        <v>1</v>
      </c>
      <c r="DD50" s="256">
        <f>AG*EFG</f>
        <v>11.793630000000002</v>
      </c>
      <c r="DE50" s="256">
        <f>IF(AZ50&gt;0,'Look Ups'!$S$3,0)</f>
        <v>1</v>
      </c>
      <c r="DF50" s="256">
        <f>IF(LPS&gt;0,0.72*(AS/(LPS^2))^0.3,0)</f>
        <v>0</v>
      </c>
      <c r="DG50" s="256">
        <f>EFS*AS</f>
        <v>0</v>
      </c>
      <c r="DH50" s="256">
        <f>IF(LPD&gt;0,0.72*(AD/(LPD^2))^0.3,0)</f>
        <v>0</v>
      </c>
      <c r="DI50" s="280">
        <f>IF((AD-AG)&gt;0,0.3*(AD-AG)*EFD,0)</f>
        <v>0</v>
      </c>
      <c r="DJ50" s="295" t="str">
        <f>IF((SCRF=0),"-",IF(AND(MSASC&gt;AG,SCRMG&lt;(0.75*SCRF)),"valid","ERROR"))</f>
        <v>valid</v>
      </c>
      <c r="DK50" s="266" t="str">
        <f>IF((SF=0),"-",IF((SMG&lt;(0.75*SF)),"ERROR",IF(AND(MSASP&gt;MSASC,MSASP&gt;AG,MSASP&gt;=0.36*RSAM),"valid","Small")))</f>
        <v>valid</v>
      </c>
      <c r="DL50" s="267" t="str">
        <f>IF(C50="","",CONCATENATE("MG",IF(FLSCR="valid","Scr",""),IF(FLSPI="valid","SP","")))</f>
        <v>MGScrSP</v>
      </c>
      <c r="DM50" s="294">
        <f>RSAM+RSAG</f>
        <v>36.399209999999997</v>
      </c>
      <c r="DN50" s="256">
        <f>IF(MSASP&gt;0,'Look Ups'!$AI$4*(ZVAL*MSASP-RSAG),0)</f>
        <v>8.9975609999999993</v>
      </c>
      <c r="DO50" s="256">
        <f>IF(AND(MSASC&gt;0,(MSASC&gt;=0.36*RSAM)),('Look Ups'!$AI$3*(ZVAL*MSASC-RSAG)),(0))</f>
        <v>3.4033194999999998</v>
      </c>
      <c r="DP50" s="256">
        <f>IF(MSASP&gt;0,'Look Ups'!$AI$5*(ZVAL*MSASP-RSAG),0)</f>
        <v>8.3977236000000008</v>
      </c>
      <c r="DQ50" s="256">
        <f>IF(MSASC&gt;0,'Look Ups'!$AI$6*(MSASC-RSAG),0)</f>
        <v>0.6806639000000001</v>
      </c>
      <c r="DR50" s="280">
        <f>'Look Ups'!$AI$7*MAX(IF(MSAUSC&gt;0,EUSC/100*(MSAUSC-RSAG),0),IF(CR50="Yes",ELSC/100*(MSASC-RSAG),0))</f>
        <v>0.70126817100371264</v>
      </c>
      <c r="DS50" s="280">
        <f>0.36*RSAM</f>
        <v>8.8580087999999986</v>
      </c>
      <c r="DT50" s="296">
        <f>_xlfn.IFS(SPC="MG",RAMG+DS50,SPC="MGScr",RAMG+RASCO,SPC="MGSp",RAMG+RASPO,SPC="MGScrSp",RAMG+RASPSC+RASCR)+RAUSC+RSAST+RSAD+RSAMZ+RSA2M</f>
        <v>46.178865671003706</v>
      </c>
      <c r="DU50" s="63"/>
    </row>
    <row r="51" spans="1:125" ht="15.6" customHeight="1" x14ac:dyDescent="0.3">
      <c r="A51" s="110"/>
      <c r="B51" s="64"/>
      <c r="C51" s="64" t="s">
        <v>283</v>
      </c>
      <c r="D51" s="85" t="s">
        <v>284</v>
      </c>
      <c r="E51" s="86" t="s">
        <v>285</v>
      </c>
      <c r="F51" s="252">
        <f ca="1">IF(RW=0,0,ROUND(DLF*0.93*RL^LF*RSA^0.4/RW^0.325,3))</f>
        <v>1.0429999999999999</v>
      </c>
      <c r="G51" s="252" t="str">
        <f ca="1">IF(OR(FLSCR="ERROR",FLSPI="ERROR"),"No",IF(TODAY()-'Look Ups'!$D$4*365&gt;I51,"WP Applied","Yes"))</f>
        <v>Yes</v>
      </c>
      <c r="H51" s="253" t="str">
        <f>IF(SPC="","",CONCATENATE("Main-Genoa",IF(FLSCR="valid",IF(OR(CR51="Yes",MSAUSC&gt;0),"-Screacher (Upwind)","-Screacher"),""),IF(FLSPI="valid","-Spinnaker",""),IF(RSAMZ&gt;0,"-Mizzen",""),IF(RSA2M&gt;0,"-Second Main",""),IF(AS&gt;0,"-Staysail",""),IF(AD&gt;0,"-Drifter","")))</f>
        <v>Main-Genoa-Screacher-Spinnaker</v>
      </c>
      <c r="I51" s="1">
        <v>45147</v>
      </c>
      <c r="J51" s="1">
        <v>45148</v>
      </c>
      <c r="K51" s="87" t="s">
        <v>286</v>
      </c>
      <c r="L51" s="87" t="s">
        <v>164</v>
      </c>
      <c r="M51" s="207"/>
      <c r="N51" s="88" t="s">
        <v>165</v>
      </c>
      <c r="O51" s="88"/>
      <c r="P51" s="100"/>
      <c r="Q51" s="90">
        <v>8.3000000000000007</v>
      </c>
      <c r="R51" s="87"/>
      <c r="S51" s="256">
        <f>IF((LOAA&gt;LOA),0.025*LOAA,0.025*LOA)</f>
        <v>0.20750000000000002</v>
      </c>
      <c r="T51" s="91"/>
      <c r="U51" s="91">
        <v>0</v>
      </c>
      <c r="V51" s="258">
        <f>IF((_xlfn.SINGLE(LOAA)&gt;_xlfn.SINGLE(LOA)),_xlfn.SINGLE(LOAA),_xlfn.SINGLE(LOA)-_xlfn.SINGLE(FOC)-_xlfn.SINGLE(AOC))</f>
        <v>8.3000000000000007</v>
      </c>
      <c r="W51" s="259">
        <f>IF(RL&gt;0,IF(RL&gt;'Look Ups'!Y$7,'Look Ups'!Y$8,('Look Ups'!Y$3*RL^3+'Look Ups'!Y$4*RL^2+'Look Ups'!Y$5*RL+'Look Ups'!Y$6)),0)</f>
        <v>0.29477297099999999</v>
      </c>
      <c r="X51" s="92">
        <v>955</v>
      </c>
      <c r="Y51" s="262">
        <f ca="1">IF(WDATE&lt;(TODAY()-'Look Ups'!$D$4*365),-WM*'Look Ups'!$D$5/100,0)</f>
        <v>0</v>
      </c>
      <c r="Z51" s="93"/>
      <c r="AA51" s="93"/>
      <c r="AB51" s="75"/>
      <c r="AC51" s="268">
        <f>WCD+NC*'Look Ups'!$AF$3</f>
        <v>0</v>
      </c>
      <c r="AD51" s="268">
        <f ca="1">IF(RL&lt;'Look Ups'!AM$3,'Look Ups'!AM$4,IF(RL&gt;'Look Ups'!AM$5,'Look Ups'!AM$6,(RL-'Look Ups'!AM$3)/('Look Ups'!AM$5-'Look Ups'!AM$3)*('Look Ups'!AM$6-'Look Ups'!AM$4)+'Look Ups'!AM$4))/100*WS</f>
        <v>230.93636363636361</v>
      </c>
      <c r="AE51" s="266">
        <f ca="1">WM+WP+WE</f>
        <v>955</v>
      </c>
      <c r="AF51" s="267">
        <f ca="1">_xlfn.SINGLE(WS)+IF(_xlfn.SINGLE(TCW)&gt;=_xlfn.SINGLE(CWA),_xlfn.SINGLE(CWA),_xlfn.SINGLE(TCW))</f>
        <v>955</v>
      </c>
      <c r="AG51" s="94" t="s">
        <v>145</v>
      </c>
      <c r="AH51" s="95" t="s">
        <v>146</v>
      </c>
      <c r="AI51" s="96" t="s">
        <v>147</v>
      </c>
      <c r="AJ51" s="218"/>
      <c r="AK51" s="273">
        <f>IF(C51="",0,VLOOKUP(AG51,'Look Ups'!$F$3:$G$6,2,0)*VLOOKUP(AH51,'Look Ups'!$I$3:$J$5,2,0)*VLOOKUP(AI51,'Look Ups'!$L$3:$M$7,2,0)*IF(AJ51="",1,VLOOKUP(AJ51,'Look Ups'!$O$3:$P$4,2,0)))</f>
        <v>1</v>
      </c>
      <c r="AL51" s="83">
        <v>13.66</v>
      </c>
      <c r="AM51" s="91">
        <v>13.4</v>
      </c>
      <c r="AN51" s="91">
        <v>3.7</v>
      </c>
      <c r="AO51" s="91">
        <v>1.54</v>
      </c>
      <c r="AP51" s="91">
        <v>0.1</v>
      </c>
      <c r="AQ51" s="91">
        <v>13.3</v>
      </c>
      <c r="AR51" s="91">
        <v>0.09</v>
      </c>
      <c r="AS51" s="91">
        <v>3.74</v>
      </c>
      <c r="AT51" s="91">
        <v>0.02</v>
      </c>
      <c r="AU51" s="91">
        <v>0.49</v>
      </c>
      <c r="AV51" s="91" t="s">
        <v>148</v>
      </c>
      <c r="AW51" s="97"/>
      <c r="AX51" s="256">
        <f>P+ER</f>
        <v>13.32</v>
      </c>
      <c r="AY51" s="256">
        <f>P*0.375*MC</f>
        <v>2.4438750000000002</v>
      </c>
      <c r="AZ51" s="275">
        <f>IF(C51="",0,(0.5*(_ML1*LPM)+0.5*(_ML1*HB)+0.66*(P*PR)+0.66*(_ML2*RDM)+0.66*(E*ER))*VLOOKUP(BATT,'Look Ups'!$U$3:$V$4,2,0))</f>
        <v>37.512988</v>
      </c>
      <c r="BA51" s="98"/>
      <c r="BB51" s="99"/>
      <c r="BC51" s="83">
        <v>8.61</v>
      </c>
      <c r="BD51" s="91">
        <v>2.69</v>
      </c>
      <c r="BE51" s="91">
        <v>2.76</v>
      </c>
      <c r="BF51" s="91">
        <v>0.09</v>
      </c>
      <c r="BG51" s="91">
        <v>8.34</v>
      </c>
      <c r="BH51" s="91"/>
      <c r="BI51" s="91"/>
      <c r="BJ51" s="91">
        <v>0.08</v>
      </c>
      <c r="BK51" s="91">
        <v>-0.06</v>
      </c>
      <c r="BL51" s="97">
        <v>0</v>
      </c>
      <c r="BM51" s="275">
        <f>(0.5*LL*LPG)+(0.5*_LG1*HG)+(0.66*LL*LLRG)+(0.66*FG*FRG)+(IF((HG&gt;0),(0.66*_LG2*LRG),(0.66*_LG1*LRG)))</f>
        <v>11.84379</v>
      </c>
      <c r="BN51" s="282"/>
      <c r="BO51" s="283"/>
      <c r="BP51" s="284"/>
      <c r="BQ51" s="284"/>
      <c r="BR51" s="283"/>
      <c r="BS51" s="284"/>
      <c r="BT51" s="284"/>
      <c r="BU51" s="280">
        <f>(0.5*LLS*LPS)+(0.66*LLS*LLRS)+(0.66*LS*LRS)+(0.66*FS*FRS)</f>
        <v>0</v>
      </c>
      <c r="BV51" s="285"/>
      <c r="BW51" s="283"/>
      <c r="BX51" s="283"/>
      <c r="BY51" s="283"/>
      <c r="BZ51" s="283"/>
      <c r="CA51" s="283"/>
      <c r="CB51" s="283"/>
      <c r="CC51" s="275">
        <f>(0.5*LLD*LPD)+(0.66*LLD*LLRD)+(0.66*LCHD*LRD)+(0.66*FD*FRD)</f>
        <v>0</v>
      </c>
      <c r="CD51" s="98">
        <v>8.48</v>
      </c>
      <c r="CE51" s="91">
        <v>14.84</v>
      </c>
      <c r="CF51" s="91">
        <v>13.57</v>
      </c>
      <c r="CG51" s="91">
        <v>6.74</v>
      </c>
      <c r="CH51" s="266">
        <f>IF(SF&gt;0,SMG/SF*100,"")</f>
        <v>79.481132075471692</v>
      </c>
      <c r="CI51" s="283"/>
      <c r="CJ51" s="280">
        <f>SF*(_SL1+_SL2)/4+(SMG-SF/2)*(_SL1+_SL2)/3</f>
        <v>83.904200000000003</v>
      </c>
      <c r="CK51" s="83">
        <v>6.51</v>
      </c>
      <c r="CL51" s="91">
        <v>12.78</v>
      </c>
      <c r="CM51" s="91">
        <v>10.77</v>
      </c>
      <c r="CN51" s="91">
        <v>3.43</v>
      </c>
      <c r="CO51" s="256">
        <f>IF(SCRF&gt;0,SCRMG/SCRF*100,"")</f>
        <v>52.688172043010759</v>
      </c>
      <c r="CP51" s="283"/>
      <c r="CQ51" s="256">
        <f>SCRF*(SCRL1+SCRL2)/4+(SCRMG-SCRF/2)*(SCRL1+SCRL2)/3</f>
        <v>39.701374999999999</v>
      </c>
      <c r="CR51" s="256" t="str">
        <f>IF(CO51&lt;'Look Ups'!$AC$4,"Yes","No")</f>
        <v>No</v>
      </c>
      <c r="CS51" s="267">
        <f>IF(CR51="Yes",MIN(150,('Look Ups'!$AC$4-PSCR)/('Look Ups'!$AC$4-'Look Ups'!$AC$3)*100),0)</f>
        <v>0</v>
      </c>
      <c r="CT51" s="83"/>
      <c r="CU51" s="91"/>
      <c r="CV51" s="91"/>
      <c r="CW51" s="91"/>
      <c r="CX51" s="256" t="str">
        <f>IF(USCRF&gt;0,USCRMG/USCRF*100,"")</f>
        <v/>
      </c>
      <c r="CY51" s="293">
        <f>IF(PUSCR&lt;'Look Ups'!$AC$4,MIN(150,('Look Ups'!$AC$4-PUSCR)/('Look Ups'!$AC$4-'Look Ups'!$AC$3)*100),0)</f>
        <v>0</v>
      </c>
      <c r="CZ51" s="275">
        <f>IF(PUSCR&lt;'Look Ups'!$AC$4,USCRF*(USCRL1+USCRL2)/4+(USCRMG-USCRF/2)*(USCRL1+USCRL2)/3,0)</f>
        <v>0</v>
      </c>
      <c r="DA51" s="294">
        <f>IF(ZVAL=1,1,IF(LPM&gt;0,0.64*((AM+MAM)/(E+(MC/2))^2)^0.3,0))</f>
        <v>1</v>
      </c>
      <c r="DB51" s="256">
        <f>0.65*((AM+MAM)*EFM)+0.35*((AM+MAM)*ZVAL)</f>
        <v>39.956862999999998</v>
      </c>
      <c r="DC51" s="256">
        <f>IF(ZVAL=1,1,IF(LPG&gt;0,0.72*(AG/(LPG^2))^0.3,0))</f>
        <v>1</v>
      </c>
      <c r="DD51" s="256">
        <f>AG*EFG</f>
        <v>11.84379</v>
      </c>
      <c r="DE51" s="256">
        <f>IF(AZ51&gt;0,'Look Ups'!$S$3,0)</f>
        <v>1</v>
      </c>
      <c r="DF51" s="256">
        <f>IF(LPS&gt;0,0.72*(AS/(LPS^2))^0.3,0)</f>
        <v>0</v>
      </c>
      <c r="DG51" s="256">
        <f>EFS*AS</f>
        <v>0</v>
      </c>
      <c r="DH51" s="256">
        <f>IF(LPD&gt;0,0.72*(AD/(LPD^2))^0.3,0)</f>
        <v>0</v>
      </c>
      <c r="DI51" s="280">
        <f>IF((AD-AG)&gt;0,0.3*(AD-AG)*EFD,0)</f>
        <v>0</v>
      </c>
      <c r="DJ51" s="295" t="str">
        <f>IF((SCRF=0),"-",IF(AND(MSASC&gt;AG,SCRMG&lt;(0.75*SCRF)),"valid","ERROR"))</f>
        <v>valid</v>
      </c>
      <c r="DK51" s="266" t="str">
        <f>IF((SF=0),"-",IF((SMG&lt;(0.75*SF)),"ERROR",IF(AND(MSASP&gt;MSASC,MSASP&gt;AG,MSASP&gt;=0.36*RSAM),"valid","Small")))</f>
        <v>valid</v>
      </c>
      <c r="DL51" s="267" t="str">
        <f>IF(C51="","",CONCATENATE("MG",IF(FLSCR="valid","Scr",""),IF(FLSPI="valid","SP","")))</f>
        <v>MGScrSP</v>
      </c>
      <c r="DM51" s="294">
        <f>RSAM+RSAG</f>
        <v>51.800652999999997</v>
      </c>
      <c r="DN51" s="256">
        <f>IF(MSASP&gt;0,'Look Ups'!$AI$4*(ZVAL*MSASP-RSAG),0)</f>
        <v>21.618123000000001</v>
      </c>
      <c r="DO51" s="256">
        <f>IF(AND(MSASC&gt;0,(MSASC&gt;=0.36*RSAM)),('Look Ups'!$AI$3*(ZVAL*MSASC-RSAG)),(0))</f>
        <v>9.7501547500000001</v>
      </c>
      <c r="DP51" s="256">
        <f>IF(MSASP&gt;0,'Look Ups'!$AI$5*(ZVAL*MSASP-RSAG),0)</f>
        <v>20.176914800000002</v>
      </c>
      <c r="DQ51" s="256">
        <f>IF(MSASC&gt;0,'Look Ups'!$AI$6*(MSASC-RSAG),0)</f>
        <v>1.9500309500000002</v>
      </c>
      <c r="DR51" s="280">
        <f>'Look Ups'!$AI$7*MAX(IF(MSAUSC&gt;0,EUSC/100*(MSAUSC-RSAG),0),IF(CR51="Yes",ELSC/100*(MSASC-RSAG),0))</f>
        <v>0</v>
      </c>
      <c r="DS51" s="280">
        <f>0.36*RSAM</f>
        <v>14.38447068</v>
      </c>
      <c r="DT51" s="296">
        <f>_xlfn.IFS(SPC="MG",RAMG+DS51,SPC="MGScr",RAMG+RASCO,SPC="MGSp",RAMG+RASPO,SPC="MGScrSp",RAMG+RASPSC+RASCR)+RAUSC+RSAST+RSAD+RSAMZ+RSA2M</f>
        <v>73.927598750000001</v>
      </c>
      <c r="DU51" s="63"/>
    </row>
    <row r="52" spans="1:125" ht="15.6" customHeight="1" x14ac:dyDescent="0.3">
      <c r="A52" s="4"/>
      <c r="B52" s="64"/>
      <c r="C52" s="64" t="s">
        <v>287</v>
      </c>
      <c r="D52" s="85" t="s">
        <v>288</v>
      </c>
      <c r="E52" s="86" t="s">
        <v>289</v>
      </c>
      <c r="F52" s="252">
        <f ca="1">IF(RW=0,0,ROUND(DLF*0.93*RL^LF*RSA^0.4/RW^0.325,3))</f>
        <v>0.89800000000000002</v>
      </c>
      <c r="G52" s="252" t="str">
        <f ca="1">IF(OR(FLSCR="ERROR",FLSPI="ERROR"),"No",IF(TODAY()-'Look Ups'!$D$4*365&gt;I52,"WP Applied","Yes"))</f>
        <v>Yes</v>
      </c>
      <c r="H52" s="253" t="str">
        <f>IF(SPC="","",CONCATENATE("Main-Genoa",IF(FLSCR="valid",IF(OR(CR52="Yes",MSAUSC&gt;0),"-Screacher (Upwind)","-Screacher"),""),IF(FLSPI="valid","-Spinnaker",""),IF(RSAMZ&gt;0,"-Mizzen",""),IF(RSA2M&gt;0,"-Second Main",""),IF(AS&gt;0,"-Staysail",""),IF(AD&gt;0,"-Drifter","")))</f>
        <v>Main-Genoa-Screacher (Upwind)-Spinnaker</v>
      </c>
      <c r="I52" s="1">
        <v>43186</v>
      </c>
      <c r="J52" s="1">
        <v>44839</v>
      </c>
      <c r="K52" s="87" t="s">
        <v>286</v>
      </c>
      <c r="L52" s="87" t="s">
        <v>164</v>
      </c>
      <c r="M52" s="207"/>
      <c r="N52" s="88" t="s">
        <v>165</v>
      </c>
      <c r="O52" s="88"/>
      <c r="P52" s="100"/>
      <c r="Q52" s="90">
        <v>15.56</v>
      </c>
      <c r="R52" s="87"/>
      <c r="S52" s="256">
        <f>IF((LOAA&gt;LOA),0.025*LOAA,0.025*LOA)</f>
        <v>0.38900000000000001</v>
      </c>
      <c r="T52" s="91">
        <v>0.05</v>
      </c>
      <c r="U52" s="91">
        <v>0</v>
      </c>
      <c r="V52" s="258">
        <f>IF((_xlfn.SINGLE(LOAA)&gt;_xlfn.SINGLE(LOA)),_xlfn.SINGLE(LOAA),_xlfn.SINGLE(LOA)-_xlfn.SINGLE(FOC)-_xlfn.SINGLE(AOC))</f>
        <v>15.51</v>
      </c>
      <c r="W52" s="259">
        <f>IF(RL&gt;0,IF(RL&gt;'Look Ups'!Y$7,'Look Ups'!Y$8,('Look Ups'!Y$3*RL^3+'Look Ups'!Y$4*RL^2+'Look Ups'!Y$5*RL+'Look Ups'!Y$6)),0)</f>
        <v>0.3</v>
      </c>
      <c r="X52" s="92">
        <v>7532</v>
      </c>
      <c r="Y52" s="262">
        <f ca="1">IF(WDATE&lt;(TODAY()-'Look Ups'!$D$4*365),-WM*'Look Ups'!$D$5/100,0)</f>
        <v>0</v>
      </c>
      <c r="Z52" s="93"/>
      <c r="AA52" s="93"/>
      <c r="AB52" s="75"/>
      <c r="AC52" s="265">
        <f>WCD+NC*'Look Ups'!$AF$3</f>
        <v>0</v>
      </c>
      <c r="AD52" s="265">
        <f ca="1">IF(RL&lt;'Look Ups'!AM$3,'Look Ups'!AM$4,IF(RL&gt;'Look Ups'!AM$5,'Look Ups'!AM$6,(RL-'Look Ups'!AM$3)/('Look Ups'!AM$5-'Look Ups'!AM$3)*('Look Ups'!AM$6-'Look Ups'!AM$4)+'Look Ups'!AM$4))/100*WS</f>
        <v>753.2</v>
      </c>
      <c r="AE52" s="266">
        <f ca="1">WM+WP+WE</f>
        <v>7532</v>
      </c>
      <c r="AF52" s="267">
        <f ca="1">_xlfn.SINGLE(WS)+IF(_xlfn.SINGLE(TCW)&gt;=_xlfn.SINGLE(CWA),_xlfn.SINGLE(CWA),_xlfn.SINGLE(TCW))</f>
        <v>7532</v>
      </c>
      <c r="AG52" s="94" t="s">
        <v>145</v>
      </c>
      <c r="AH52" s="95" t="s">
        <v>146</v>
      </c>
      <c r="AI52" s="96" t="s">
        <v>177</v>
      </c>
      <c r="AJ52" s="218"/>
      <c r="AK52" s="273">
        <f>IF(C52="",0,VLOOKUP(AG52,'Look Ups'!$F$3:$G$6,2,0)*VLOOKUP(AH52,'Look Ups'!$I$3:$J$5,2,0)*VLOOKUP(AI52,'Look Ups'!$L$3:$M$7,2,0)*IF(AJ52="",1,VLOOKUP(AJ52,'Look Ups'!$O$3:$P$4,2,0)))</f>
        <v>0.99</v>
      </c>
      <c r="AL52" s="83">
        <v>17.920000000000002</v>
      </c>
      <c r="AM52" s="91">
        <v>17.309999999999999</v>
      </c>
      <c r="AN52" s="91">
        <v>6.45</v>
      </c>
      <c r="AO52" s="91">
        <v>2.3199999999999998</v>
      </c>
      <c r="AP52" s="91">
        <v>0.53</v>
      </c>
      <c r="AQ52" s="91">
        <v>17.46</v>
      </c>
      <c r="AR52" s="91">
        <v>0.24</v>
      </c>
      <c r="AS52" s="91">
        <v>6.75</v>
      </c>
      <c r="AT52" s="91">
        <v>0.08</v>
      </c>
      <c r="AU52" s="91">
        <v>0</v>
      </c>
      <c r="AV52" s="91" t="s">
        <v>148</v>
      </c>
      <c r="AW52" s="97">
        <v>641</v>
      </c>
      <c r="AX52" s="256">
        <f>P+ER</f>
        <v>17.54</v>
      </c>
      <c r="AY52" s="256">
        <f>P*0.375*MC</f>
        <v>0</v>
      </c>
      <c r="AZ52" s="275">
        <f>IF(C52="",0,(0.5*(_ML1*LPM)+0.5*(_ML1*HB)+0.66*(P*PR)+0.66*(_ML2*RDM)+0.66*(E*ER))*VLOOKUP(BATT,'Look Ups'!$U$3:$V$4,2,0))</f>
        <v>87.756302000000005</v>
      </c>
      <c r="BA52" s="98"/>
      <c r="BB52" s="99"/>
      <c r="BC52" s="83">
        <v>16.96</v>
      </c>
      <c r="BD52" s="91">
        <v>4.7</v>
      </c>
      <c r="BE52" s="91">
        <v>5</v>
      </c>
      <c r="BF52" s="91">
        <v>0.17</v>
      </c>
      <c r="BG52" s="91">
        <v>15.78</v>
      </c>
      <c r="BH52" s="91"/>
      <c r="BI52" s="91"/>
      <c r="BJ52" s="91">
        <v>-0.05</v>
      </c>
      <c r="BK52" s="91">
        <v>0.05</v>
      </c>
      <c r="BL52" s="97">
        <v>0</v>
      </c>
      <c r="BM52" s="275">
        <f>(0.5*LL*LPG)+(0.5*_LG1*HG)+(0.66*LL*LLRG)+(0.66*FG*FRG)+(IF((HG&gt;0),(0.66*_LG2*LRG),(0.66*_LG1*LRG)))</f>
        <v>40.455939999999998</v>
      </c>
      <c r="BN52" s="282"/>
      <c r="BO52" s="283"/>
      <c r="BP52" s="284"/>
      <c r="BQ52" s="284"/>
      <c r="BR52" s="283"/>
      <c r="BS52" s="284"/>
      <c r="BT52" s="284"/>
      <c r="BU52" s="280">
        <f>(0.5*LLS*LPS)+(0.66*LLS*LLRS)+(0.66*LS*LRS)+(0.66*FS*FRS)</f>
        <v>0</v>
      </c>
      <c r="BV52" s="285"/>
      <c r="BW52" s="283"/>
      <c r="BX52" s="283"/>
      <c r="BY52" s="283"/>
      <c r="BZ52" s="283"/>
      <c r="CA52" s="283"/>
      <c r="CB52" s="283"/>
      <c r="CC52" s="275">
        <f>(0.5*LLD*LPD)+(0.66*LLD*LLRD)+(0.66*LCHD*LRD)+(0.66*FD*FRD)</f>
        <v>0</v>
      </c>
      <c r="CD52" s="98">
        <v>13.02</v>
      </c>
      <c r="CE52" s="91">
        <v>19.18</v>
      </c>
      <c r="CF52" s="91">
        <v>17.13</v>
      </c>
      <c r="CG52" s="91">
        <v>9.9</v>
      </c>
      <c r="CH52" s="266">
        <f>IF(SF&gt;0,SMG/SF*100,"")</f>
        <v>76.036866359447004</v>
      </c>
      <c r="CI52" s="283"/>
      <c r="CJ52" s="280">
        <f>SF*(_SL1+_SL2)/4+(SMG-SF/2)*(_SL1+_SL2)/3</f>
        <v>159.21935000000002</v>
      </c>
      <c r="CK52" s="83">
        <v>11.27</v>
      </c>
      <c r="CL52" s="91">
        <v>18.37</v>
      </c>
      <c r="CM52" s="91">
        <v>15.54</v>
      </c>
      <c r="CN52" s="91">
        <v>5.69</v>
      </c>
      <c r="CO52" s="256">
        <f>IF(SCRF&gt;0,SCRMG/SCRF*100,"")</f>
        <v>50.488021295474717</v>
      </c>
      <c r="CP52" s="283"/>
      <c r="CQ52" s="256">
        <f>SCRF*(SCRL1+SCRL2)/4+(SCRMG-SCRF/2)*(SCRL1+SCRL2)/3</f>
        <v>96.163108333333327</v>
      </c>
      <c r="CR52" s="256" t="str">
        <f>IF(CO52&lt;'Look Ups'!$AC$4,"Yes","No")</f>
        <v>Yes</v>
      </c>
      <c r="CS52" s="267">
        <f>IF(CR52="Yes",MIN(150,('Look Ups'!$AC$4-PSCR)/('Look Ups'!$AC$4-'Look Ups'!$AC$3)*100),0)</f>
        <v>30.239574090505673</v>
      </c>
      <c r="CT52" s="83"/>
      <c r="CU52" s="91"/>
      <c r="CV52" s="91"/>
      <c r="CW52" s="91"/>
      <c r="CX52" s="256" t="str">
        <f>IF(USCRF&gt;0,USCRMG/USCRF*100,"")</f>
        <v/>
      </c>
      <c r="CY52" s="293">
        <f>IF(PUSCR&lt;'Look Ups'!$AC$4,MIN(150,('Look Ups'!$AC$4-PUSCR)/('Look Ups'!$AC$4-'Look Ups'!$AC$3)*100),0)</f>
        <v>0</v>
      </c>
      <c r="CZ52" s="275">
        <f>IF(PUSCR&lt;'Look Ups'!$AC$4,USCRF*(USCRL1+USCRL2)/4+(USCRMG-USCRF/2)*(USCRL1+USCRL2)/3,0)</f>
        <v>0</v>
      </c>
      <c r="DA52" s="294">
        <f>IF(ZVAL=1,1,IF(LPM&gt;0,0.64*((AM+MAM)/(E+(MC/2))^2)^0.3,0))</f>
        <v>1</v>
      </c>
      <c r="DB52" s="256">
        <f>0.65*((AM+MAM)*EFM)+0.35*((AM+MAM)*ZVAL)</f>
        <v>87.756302000000005</v>
      </c>
      <c r="DC52" s="256">
        <f>IF(ZVAL=1,1,IF(LPG&gt;0,0.72*(AG/(LPG^2))^0.3,0))</f>
        <v>1</v>
      </c>
      <c r="DD52" s="256">
        <f>AG*EFG</f>
        <v>40.455939999999998</v>
      </c>
      <c r="DE52" s="256">
        <f>IF(AZ52&gt;0,'Look Ups'!$S$3,0)</f>
        <v>1</v>
      </c>
      <c r="DF52" s="256">
        <f>IF(LPS&gt;0,0.72*(AS/(LPS^2))^0.3,0)</f>
        <v>0</v>
      </c>
      <c r="DG52" s="256">
        <f>EFS*AS</f>
        <v>0</v>
      </c>
      <c r="DH52" s="256">
        <f>IF(LPD&gt;0,0.72*(AD/(LPD^2))^0.3,0)</f>
        <v>0</v>
      </c>
      <c r="DI52" s="280">
        <f>IF((AD-AG)&gt;0,0.3*(AD-AG)*EFD,0)</f>
        <v>0</v>
      </c>
      <c r="DJ52" s="295" t="str">
        <f>IF((SCRF=0),"-",IF(AND(MSASC&gt;AG,SCRMG&lt;(0.75*SCRF)),"valid","ERROR"))</f>
        <v>valid</v>
      </c>
      <c r="DK52" s="266" t="str">
        <f>IF((SF=0),"-",IF((SMG&lt;(0.75*SF)),"ERROR",IF(AND(MSASP&gt;MSASC,MSASP&gt;AG,MSASP&gt;=0.36*RSAM),"valid","Small")))</f>
        <v>valid</v>
      </c>
      <c r="DL52" s="267" t="str">
        <f>IF(C52="","",CONCATENATE("MG",IF(FLSCR="valid","Scr",""),IF(FLSPI="valid","SP","")))</f>
        <v>MGScrSP</v>
      </c>
      <c r="DM52" s="294">
        <f>RSAM+RSAG</f>
        <v>128.212242</v>
      </c>
      <c r="DN52" s="256">
        <f>IF(MSASP&gt;0,'Look Ups'!$AI$4*(ZVAL*MSASP-RSAG),0)</f>
        <v>35.629023000000004</v>
      </c>
      <c r="DO52" s="256">
        <f>IF(AND(MSASC&gt;0,(MSASC&gt;=0.36*RSAM)),('Look Ups'!$AI$3*(ZVAL*MSASC-RSAG)),(0))</f>
        <v>19.497508916666664</v>
      </c>
      <c r="DP52" s="256">
        <f>IF(MSASP&gt;0,'Look Ups'!$AI$5*(ZVAL*MSASP-RSAG),0)</f>
        <v>33.25375480000001</v>
      </c>
      <c r="DQ52" s="256">
        <f>IF(MSASC&gt;0,'Look Ups'!$AI$6*(MSASC-RSAG),0)</f>
        <v>3.8995017833333332</v>
      </c>
      <c r="DR52" s="280">
        <f>'Look Ups'!$AI$7*MAX(IF(MSAUSC&gt;0,EUSC/100*(MSAUSC-RSAG),0),IF(CR52="Yes",ELSC/100*(MSASC-RSAG),0))</f>
        <v>4.2114026104702615</v>
      </c>
      <c r="DS52" s="280">
        <f>0.36*RSAM</f>
        <v>31.59226872</v>
      </c>
      <c r="DT52" s="296">
        <f>_xlfn.IFS(SPC="MG",RAMG+DS52,SPC="MGScr",RAMG+RASCO,SPC="MGSp",RAMG+RASPO,SPC="MGScrSp",RAMG+RASPSC+RASCR)+RAUSC+RSAST+RSAD+RSAMZ+RSA2M</f>
        <v>169.57690119380362</v>
      </c>
      <c r="DU52" s="63"/>
    </row>
    <row r="53" spans="1:125" ht="15.6" customHeight="1" x14ac:dyDescent="0.3">
      <c r="A53" s="4"/>
      <c r="B53" s="84"/>
      <c r="C53" s="64" t="s">
        <v>1188</v>
      </c>
      <c r="D53" s="85" t="s">
        <v>1189</v>
      </c>
      <c r="E53" s="86" t="s">
        <v>1190</v>
      </c>
      <c r="F53" s="252">
        <f ca="1">IF(RW=0,0,ROUND(DLF*0.93*RL^LF*RSA^0.4/RW^0.325,3))</f>
        <v>0.69399999999999995</v>
      </c>
      <c r="G53" s="252" t="str">
        <f ca="1">IF(OR(FLSCR="ERROR",FLSPI="ERROR"),"No",IF(TODAY()-'Look Ups'!$D$4*365&gt;I53,"WP Applied","Yes"))</f>
        <v>Yes</v>
      </c>
      <c r="H53" s="253" t="str">
        <f>IF(SPC="","",CONCATENATE("Main-Genoa",IF(FLSCR="valid",IF(OR(CR53="Yes",MSAUSC&gt;0),"-Screacher (Upwind)","-Screacher"),""),IF(FLSPI="valid","-Spinnaker",""),IF(RSAMZ&gt;0,"-Mizzen",""),IF(RSA2M&gt;0,"-Second Main",""),IF(AS&gt;0,"-Staysail",""),IF(AD&gt;0,"-Drifter","")))</f>
        <v>Main-Genoa-Screacher-Spinnaker</v>
      </c>
      <c r="I53" s="1">
        <v>45485</v>
      </c>
      <c r="J53" s="1">
        <v>45503</v>
      </c>
      <c r="K53" s="87" t="s">
        <v>212</v>
      </c>
      <c r="L53" s="87" t="s">
        <v>164</v>
      </c>
      <c r="M53" s="207"/>
      <c r="N53" s="88" t="s">
        <v>165</v>
      </c>
      <c r="O53" s="88"/>
      <c r="P53" s="100">
        <v>7.85</v>
      </c>
      <c r="Q53" s="90">
        <v>15.85</v>
      </c>
      <c r="R53" s="87"/>
      <c r="S53" s="256">
        <f>IF((LOAA&gt;LOA),0.025*LOAA,0.025*LOA)</f>
        <v>0.39624999999999999</v>
      </c>
      <c r="T53" s="91">
        <v>0.17</v>
      </c>
      <c r="U53" s="91">
        <v>0</v>
      </c>
      <c r="V53" s="258">
        <f>IF((_xlfn.SINGLE(LOAA)&gt;_xlfn.SINGLE(LOA)),_xlfn.SINGLE(LOAA),_xlfn.SINGLE(LOA)-_xlfn.SINGLE(FOC)-_xlfn.SINGLE(AOC))</f>
        <v>15.68</v>
      </c>
      <c r="W53" s="259">
        <f>IF(RL&gt;0,IF(RL&gt;'Look Ups'!Y$7,'Look Ups'!Y$8,('Look Ups'!Y$3*RL^3+'Look Ups'!Y$4*RL^2+'Look Ups'!Y$5*RL+'Look Ups'!Y$6)),0)</f>
        <v>0.3</v>
      </c>
      <c r="X53" s="92">
        <v>15363</v>
      </c>
      <c r="Y53" s="262">
        <f ca="1">IF(WDATE&lt;(TODAY()-'Look Ups'!$D$4*365),-WM*'Look Ups'!$D$5/100,0)</f>
        <v>0</v>
      </c>
      <c r="Z53" s="93"/>
      <c r="AA53" s="93"/>
      <c r="AB53" s="75"/>
      <c r="AC53" s="265">
        <f>WCD+NC*'Look Ups'!$AF$3</f>
        <v>0</v>
      </c>
      <c r="AD53" s="265">
        <f ca="1">IF(RL&lt;'Look Ups'!AM$3,'Look Ups'!AM$4,IF(RL&gt;'Look Ups'!AM$5,'Look Ups'!AM$6,(RL-'Look Ups'!AM$3)/('Look Ups'!AM$5-'Look Ups'!AM$3)*('Look Ups'!AM$6-'Look Ups'!AM$4)+'Look Ups'!AM$4))/100*WS</f>
        <v>1536.3000000000002</v>
      </c>
      <c r="AE53" s="266">
        <f ca="1">WM+WP+WE</f>
        <v>15363</v>
      </c>
      <c r="AF53" s="267">
        <f ca="1">_xlfn.SINGLE(WS)+IF(_xlfn.SINGLE(TCW)&gt;=_xlfn.SINGLE(CWA),_xlfn.SINGLE(CWA),_xlfn.SINGLE(TCW))</f>
        <v>15363</v>
      </c>
      <c r="AG53" s="94" t="s">
        <v>145</v>
      </c>
      <c r="AH53" s="95" t="s">
        <v>146</v>
      </c>
      <c r="AI53" s="96" t="s">
        <v>177</v>
      </c>
      <c r="AJ53" s="218"/>
      <c r="AK53" s="273">
        <f>IF(C53="",0,VLOOKUP(AG53,'Look Ups'!$F$3:$G$6,2,0)*VLOOKUP(AH53,'Look Ups'!$I$3:$J$5,2,0)*VLOOKUP(AI53,'Look Ups'!$L$3:$M$7,2,0)*IF(AJ53="",1,VLOOKUP(AJ53,'Look Ups'!$O$3:$P$4,2,0)))</f>
        <v>0.99</v>
      </c>
      <c r="AL53" s="83">
        <v>19.5</v>
      </c>
      <c r="AM53" s="91">
        <v>17</v>
      </c>
      <c r="AN53" s="91">
        <v>5.8330000000000002</v>
      </c>
      <c r="AO53" s="91">
        <v>0.05</v>
      </c>
      <c r="AP53" s="91">
        <v>1.861</v>
      </c>
      <c r="AQ53" s="91">
        <v>18.600000000000001</v>
      </c>
      <c r="AR53" s="91">
        <v>0.29199999999999998</v>
      </c>
      <c r="AS53" s="91">
        <v>6.75</v>
      </c>
      <c r="AT53" s="91">
        <v>0.5</v>
      </c>
      <c r="AU53" s="91">
        <v>0</v>
      </c>
      <c r="AV53" s="91" t="s">
        <v>148</v>
      </c>
      <c r="AW53" s="97"/>
      <c r="AX53" s="256">
        <f>P+ER</f>
        <v>19.100000000000001</v>
      </c>
      <c r="AY53" s="256">
        <f>P*0.375*MC</f>
        <v>0</v>
      </c>
      <c r="AZ53" s="275">
        <f>IF(C53="",0,(0.5*(_ML1*LPM)+0.5*(_ML1*HB)+0.66*(P*PR)+0.66*(_ML2*RDM)+0.66*(E*ER))*VLOOKUP(BATT,'Look Ups'!$U$3:$V$4,2,0))</f>
        <v>84.051762000000011</v>
      </c>
      <c r="BA53" s="98"/>
      <c r="BB53" s="99"/>
      <c r="BC53" s="83">
        <v>17.399999999999999</v>
      </c>
      <c r="BD53" s="91">
        <v>4.2910000000000004</v>
      </c>
      <c r="BE53" s="91">
        <v>4.8</v>
      </c>
      <c r="BF53" s="91">
        <v>0.12</v>
      </c>
      <c r="BG53" s="91">
        <v>16.100000000000001</v>
      </c>
      <c r="BH53" s="91">
        <v>16.100000000000001</v>
      </c>
      <c r="BI53" s="91">
        <v>0.05</v>
      </c>
      <c r="BJ53" s="91">
        <v>-0.23599999999999999</v>
      </c>
      <c r="BK53" s="91">
        <v>-0.1</v>
      </c>
      <c r="BL53" s="97">
        <v>0</v>
      </c>
      <c r="BM53" s="275">
        <f>(0.5*LL*LPG)+(0.5*_LG1*HG)+(0.66*LL*LLRG)+(0.66*FG*FRG)+(IF((HG&gt;0),(0.66*_LG2*LRG),(0.66*_LG1*LRG)))</f>
        <v>34.458223999999994</v>
      </c>
      <c r="BN53" s="282"/>
      <c r="BO53" s="283"/>
      <c r="BP53" s="284"/>
      <c r="BQ53" s="284"/>
      <c r="BR53" s="283"/>
      <c r="BS53" s="284"/>
      <c r="BT53" s="284"/>
      <c r="BU53" s="280">
        <f>(0.5*LLS*LPS)+(0.66*LLS*LLRS)+(0.66*LS*LRS)+(0.66*FS*FRS)</f>
        <v>0</v>
      </c>
      <c r="BV53" s="285"/>
      <c r="BW53" s="283"/>
      <c r="BX53" s="283"/>
      <c r="BY53" s="283"/>
      <c r="BZ53" s="283"/>
      <c r="CA53" s="283"/>
      <c r="CB53" s="283"/>
      <c r="CC53" s="275">
        <f>(0.5*LLD*LPD)+(0.66*LLD*LLRD)+(0.66*LCHD*LRD)+(0.66*FD*FRD)</f>
        <v>0</v>
      </c>
      <c r="CD53" s="98">
        <v>10.84</v>
      </c>
      <c r="CE53" s="91">
        <v>17.5</v>
      </c>
      <c r="CF53" s="91">
        <v>19.010000000000002</v>
      </c>
      <c r="CG53" s="91">
        <v>9.92</v>
      </c>
      <c r="CH53" s="266">
        <f>IF(SF&gt;0,SMG/SF*100,"")</f>
        <v>91.512915129151295</v>
      </c>
      <c r="CI53" s="283"/>
      <c r="CJ53" s="280">
        <f>SF*(_SL1+_SL2)/4+(SMG-SF/2)*(_SL1+_SL2)/3</f>
        <v>153.70710000000003</v>
      </c>
      <c r="CK53" s="83">
        <v>12.75</v>
      </c>
      <c r="CL53" s="91">
        <v>18.95</v>
      </c>
      <c r="CM53" s="91">
        <v>17.420000000000002</v>
      </c>
      <c r="CN53" s="91">
        <v>6.8730000000000002</v>
      </c>
      <c r="CO53" s="256">
        <f>IF(SCRF&gt;0,SCRMG/SCRF*100,"")</f>
        <v>53.905882352941184</v>
      </c>
      <c r="CP53" s="283"/>
      <c r="CQ53" s="256">
        <f>SCRF*(SCRL1+SCRL2)/4+(SCRMG-SCRF/2)*(SCRL1+SCRL2)/3</f>
        <v>121.96679500000002</v>
      </c>
      <c r="CR53" s="256" t="str">
        <f>IF(CO53&lt;'Look Ups'!$AC$4,"Yes","No")</f>
        <v>No</v>
      </c>
      <c r="CS53" s="267">
        <f>IF(CR53="Yes",MIN(150,('Look Ups'!$AC$4-PSCR)/('Look Ups'!$AC$4-'Look Ups'!$AC$3)*100),0)</f>
        <v>0</v>
      </c>
      <c r="CT53" s="83"/>
      <c r="CU53" s="91"/>
      <c r="CV53" s="91"/>
      <c r="CW53" s="91"/>
      <c r="CX53" s="256" t="str">
        <f>IF(USCRF&gt;0,USCRMG/USCRF*100,"")</f>
        <v/>
      </c>
      <c r="CY53" s="293">
        <f>IF(PUSCR&lt;'Look Ups'!$AC$4,MIN(150,('Look Ups'!$AC$4-PUSCR)/('Look Ups'!$AC$4-'Look Ups'!$AC$3)*100),0)</f>
        <v>0</v>
      </c>
      <c r="CZ53" s="275">
        <f>IF(PUSCR&lt;'Look Ups'!$AC$4,USCRF*(USCRL1+USCRL2)/4+(USCRMG-USCRF/2)*(USCRL1+USCRL2)/3,0)</f>
        <v>0</v>
      </c>
      <c r="DA53" s="294">
        <f>IF(ZVAL=1,1,IF(LPM&gt;0,0.64*((AM+MAM)/(E+(MC/2))^2)^0.3,0))</f>
        <v>1</v>
      </c>
      <c r="DB53" s="256">
        <f>0.65*((AM+MAM)*EFM)+0.35*((AM+MAM)*ZVAL)</f>
        <v>84.051762000000011</v>
      </c>
      <c r="DC53" s="256">
        <f>IF(ZVAL=1,1,IF(LPG&gt;0,0.72*(AG/(LPG^2))^0.3,0))</f>
        <v>1</v>
      </c>
      <c r="DD53" s="256">
        <f>AG*EFG</f>
        <v>34.458223999999994</v>
      </c>
      <c r="DE53" s="256">
        <f>IF(AZ53&gt;0,'Look Ups'!$S$3,0)</f>
        <v>1</v>
      </c>
      <c r="DF53" s="256">
        <f>IF(LPS&gt;0,0.72*(AS/(LPS^2))^0.3,0)</f>
        <v>0</v>
      </c>
      <c r="DG53" s="256">
        <f>EFS*AS</f>
        <v>0</v>
      </c>
      <c r="DH53" s="256">
        <f>IF(LPD&gt;0,0.72*(AD/(LPD^2))^0.3,0)</f>
        <v>0</v>
      </c>
      <c r="DI53" s="280">
        <f>IF((AD-AG)&gt;0,0.3*(AD-AG)*EFD,0)</f>
        <v>0</v>
      </c>
      <c r="DJ53" s="295" t="str">
        <f>IF((SCRF=0),"-",IF(AND(MSASC&gt;AG,SCRMG&lt;(0.75*SCRF)),"valid","ERROR"))</f>
        <v>valid</v>
      </c>
      <c r="DK53" s="266" t="str">
        <f>IF((SF=0),"-",IF((SMG&lt;(0.75*SF)),"ERROR",IF(AND(MSASP&gt;MSASC,MSASP&gt;AG,MSASP&gt;=0.36*RSAM),"valid","Small")))</f>
        <v>valid</v>
      </c>
      <c r="DL53" s="267" t="str">
        <f>IF(C53="","",CONCATENATE("MG",IF(FLSCR="valid","Scr",""),IF(FLSPI="valid","SP","")))</f>
        <v>MGScrSP</v>
      </c>
      <c r="DM53" s="294">
        <f>RSAM+RSAG</f>
        <v>118.509986</v>
      </c>
      <c r="DN53" s="256">
        <f>IF(MSASP&gt;0,'Look Ups'!$AI$4*(ZVAL*MSASP-RSAG),0)</f>
        <v>35.774662800000009</v>
      </c>
      <c r="DO53" s="256">
        <f>IF(AND(MSASC&gt;0,(MSASC&gt;=0.36*RSAM)),('Look Ups'!$AI$3*(ZVAL*MSASC-RSAG)),(0))</f>
        <v>30.627999850000005</v>
      </c>
      <c r="DP53" s="256">
        <f>IF(MSASP&gt;0,'Look Ups'!$AI$5*(ZVAL*MSASP-RSAG),0)</f>
        <v>33.389685280000009</v>
      </c>
      <c r="DQ53" s="256">
        <f>IF(MSASC&gt;0,'Look Ups'!$AI$6*(MSASC-RSAG),0)</f>
        <v>6.1255999700000014</v>
      </c>
      <c r="DR53" s="280">
        <f>'Look Ups'!$AI$7*MAX(IF(MSAUSC&gt;0,EUSC/100*(MSAUSC-RSAG),0),IF(CR53="Yes",ELSC/100*(MSASC-RSAG),0))</f>
        <v>0</v>
      </c>
      <c r="DS53" s="280">
        <f>0.36*RSAM</f>
        <v>30.258634320000002</v>
      </c>
      <c r="DT53" s="296">
        <f>_xlfn.IFS(SPC="MG",RAMG+DS53,SPC="MGScr",RAMG+RASCO,SPC="MGSp",RAMG+RASPO,SPC="MGScrSp",RAMG+RASPSC+RASCR)+RAUSC+RSAST+RSAD+RSAMZ+RSA2M</f>
        <v>158.02527125</v>
      </c>
      <c r="DU53" s="63"/>
    </row>
    <row r="54" spans="1:125" ht="15.6" customHeight="1" x14ac:dyDescent="0.3">
      <c r="A54" s="4"/>
      <c r="B54" s="84"/>
      <c r="C54" s="64" t="s">
        <v>290</v>
      </c>
      <c r="D54" s="85" t="s">
        <v>291</v>
      </c>
      <c r="E54" s="86" t="s">
        <v>292</v>
      </c>
      <c r="F54" s="252">
        <f ca="1">IF(RW=0,0,ROUND(DLF*0.93*RL^LF*RSA^0.4/RW^0.325,3))</f>
        <v>0.84399999999999997</v>
      </c>
      <c r="G54" s="252" t="str">
        <f ca="1">IF(OR(FLSCR="ERROR",FLSPI="ERROR"),"No",IF(TODAY()-'Look Ups'!$D$4*365&gt;I54,"WP Applied","Yes"))</f>
        <v>Yes</v>
      </c>
      <c r="H54" s="253" t="str">
        <f>IF(SPC="","",CONCATENATE("Main-Genoa",IF(FLSCR="valid",IF(OR(CR54="Yes",MSAUSC&gt;0),"-Screacher (Upwind)","-Screacher"),""),IF(FLSPI="valid","-Spinnaker",""),IF(RSAMZ&gt;0,"-Mizzen",""),IF(RSA2M&gt;0,"-Second Main",""),IF(AS&gt;0,"-Staysail",""),IF(AD&gt;0,"-Drifter","")))</f>
        <v>Main-Genoa-Spinnaker</v>
      </c>
      <c r="I54" s="1">
        <v>42761</v>
      </c>
      <c r="J54" s="1">
        <v>43007</v>
      </c>
      <c r="K54" s="87" t="s">
        <v>142</v>
      </c>
      <c r="L54" s="87" t="s">
        <v>142</v>
      </c>
      <c r="M54" s="207"/>
      <c r="N54" s="88" t="s">
        <v>143</v>
      </c>
      <c r="O54" s="88" t="s">
        <v>144</v>
      </c>
      <c r="P54" s="100">
        <v>5.2</v>
      </c>
      <c r="Q54" s="90">
        <v>6.52</v>
      </c>
      <c r="R54" s="87"/>
      <c r="S54" s="256">
        <f>IF((LOAA&gt;LOA),0.025*LOAA,0.025*LOA)</f>
        <v>0.16300000000000001</v>
      </c>
      <c r="T54" s="91"/>
      <c r="U54" s="91"/>
      <c r="V54" s="258">
        <f>IF((_xlfn.SINGLE(LOAA)&gt;_xlfn.SINGLE(LOA)),_xlfn.SINGLE(LOAA),_xlfn.SINGLE(LOA)-_xlfn.SINGLE(FOC)-_xlfn.SINGLE(AOC))</f>
        <v>6.52</v>
      </c>
      <c r="W54" s="259">
        <f>IF(RL&gt;0,IF(RL&gt;'Look Ups'!Y$7,'Look Ups'!Y$8,('Look Ups'!Y$3*RL^3+'Look Ups'!Y$4*RL^2+'Look Ups'!Y$5*RL+'Look Ups'!Y$6)),0)</f>
        <v>0.28727197766400003</v>
      </c>
      <c r="X54" s="92">
        <v>705</v>
      </c>
      <c r="Y54" s="262">
        <f ca="1">IF(WDATE&lt;(TODAY()-'Look Ups'!$D$4*365),-WM*'Look Ups'!$D$5/100,0)</f>
        <v>0</v>
      </c>
      <c r="Z54" s="93"/>
      <c r="AA54" s="225"/>
      <c r="AB54" s="226"/>
      <c r="AC54" s="265">
        <f>WCD+NC*'Look Ups'!$AF$3</f>
        <v>0</v>
      </c>
      <c r="AD54" s="265">
        <f ca="1">IF(RL&lt;'Look Ups'!AM$3,'Look Ups'!AM$4,IF(RL&gt;'Look Ups'!AM$5,'Look Ups'!AM$6,(RL-'Look Ups'!AM$3)/('Look Ups'!AM$5-'Look Ups'!AM$3)*('Look Ups'!AM$6-'Look Ups'!AM$4)+'Look Ups'!AM$4))/100*WS</f>
        <v>211.5</v>
      </c>
      <c r="AE54" s="266">
        <f ca="1">WM+WP+WE</f>
        <v>705</v>
      </c>
      <c r="AF54" s="267">
        <f ca="1">_xlfn.SINGLE(WS)+IF(_xlfn.SINGLE(TCW)&gt;=_xlfn.SINGLE(CWA),_xlfn.SINGLE(CWA),_xlfn.SINGLE(TCW))</f>
        <v>705</v>
      </c>
      <c r="AG54" s="94" t="s">
        <v>145</v>
      </c>
      <c r="AH54" s="95" t="s">
        <v>146</v>
      </c>
      <c r="AI54" s="96" t="s">
        <v>147</v>
      </c>
      <c r="AJ54" s="218"/>
      <c r="AK54" s="273">
        <f>IF(C54="",0,VLOOKUP(AG54,'Look Ups'!$F$3:$G$6,2,0)*VLOOKUP(AH54,'Look Ups'!$I$3:$J$5,2,0)*VLOOKUP(AI54,'Look Ups'!$L$3:$M$7,2,0)*IF(AJ54="",1,VLOOKUP(AJ54,'Look Ups'!$O$3:$P$4,2,0)))</f>
        <v>1</v>
      </c>
      <c r="AL54" s="83">
        <v>9.74</v>
      </c>
      <c r="AM54" s="91">
        <v>9.58</v>
      </c>
      <c r="AN54" s="91">
        <v>2.68</v>
      </c>
      <c r="AO54" s="91">
        <v>1.2</v>
      </c>
      <c r="AP54" s="91">
        <v>0.09</v>
      </c>
      <c r="AQ54" s="91">
        <v>9.83</v>
      </c>
      <c r="AR54" s="91">
        <v>0.12</v>
      </c>
      <c r="AS54" s="91">
        <v>2.68</v>
      </c>
      <c r="AT54" s="91">
        <v>4.4999999999999998E-2</v>
      </c>
      <c r="AU54" s="91">
        <v>0.46</v>
      </c>
      <c r="AV54" s="91" t="s">
        <v>148</v>
      </c>
      <c r="AW54" s="97"/>
      <c r="AX54" s="256">
        <f>P+ER</f>
        <v>9.875</v>
      </c>
      <c r="AY54" s="256">
        <f>P*0.375*MC</f>
        <v>1.6956750000000003</v>
      </c>
      <c r="AZ54" s="275">
        <f>IF(C54="",0,(0.5*(_ML1*LPM)+0.5*(_ML1*HB)+0.66*(P*PR)+0.66*(_ML2*RDM)+0.66*(E*ER))*VLOOKUP(BATT,'Look Ups'!$U$3:$V$4,2,0))</f>
        <v>20.322783999999999</v>
      </c>
      <c r="BA54" s="98"/>
      <c r="BB54" s="99"/>
      <c r="BC54" s="83">
        <v>8.8000000000000007</v>
      </c>
      <c r="BD54" s="91">
        <v>2.11</v>
      </c>
      <c r="BE54" s="91">
        <v>2.3199999999999998</v>
      </c>
      <c r="BF54" s="91">
        <v>0.11</v>
      </c>
      <c r="BG54" s="91">
        <v>8.08</v>
      </c>
      <c r="BH54" s="91"/>
      <c r="BI54" s="91"/>
      <c r="BJ54" s="91">
        <v>-0.08</v>
      </c>
      <c r="BK54" s="91">
        <v>0</v>
      </c>
      <c r="BL54" s="97"/>
      <c r="BM54" s="275">
        <f>(0.5*LL*LPG)+(0.5*_LG1*HG)+(0.66*LL*LLRG)+(0.66*FG*FRG)+(IF((HG&gt;0),(0.66*_LG2*LRG),(0.66*_LG1*LRG)))</f>
        <v>9.0258079999999996</v>
      </c>
      <c r="BN54" s="282"/>
      <c r="BO54" s="283"/>
      <c r="BP54" s="284"/>
      <c r="BQ54" s="284"/>
      <c r="BR54" s="283"/>
      <c r="BS54" s="284"/>
      <c r="BT54" s="284"/>
      <c r="BU54" s="280">
        <f>(0.5*LLS*LPS)+(0.66*LLS*LLRS)+(0.66*LS*LRS)+(0.66*FS*FRS)</f>
        <v>0</v>
      </c>
      <c r="BV54" s="285"/>
      <c r="BW54" s="283"/>
      <c r="BX54" s="283"/>
      <c r="BY54" s="283"/>
      <c r="BZ54" s="283"/>
      <c r="CA54" s="283"/>
      <c r="CB54" s="283"/>
      <c r="CC54" s="275">
        <f>(0.5*LLD*LPD)+(0.66*LLD*LLRD)+(0.66*LCHD*LRD)+(0.66*FD*FRD)</f>
        <v>0</v>
      </c>
      <c r="CD54" s="98">
        <v>5.66</v>
      </c>
      <c r="CE54" s="91">
        <v>11.15</v>
      </c>
      <c r="CF54" s="91">
        <v>9.66</v>
      </c>
      <c r="CG54" s="91">
        <v>5.19</v>
      </c>
      <c r="CH54" s="266">
        <f>IF(SF&gt;0,SMG/SF*100,"")</f>
        <v>91.696113074204959</v>
      </c>
      <c r="CI54" s="283"/>
      <c r="CJ54" s="280">
        <f>SF*(_SL1+_SL2)/4+(SMG-SF/2)*(_SL1+_SL2)/3</f>
        <v>45.816683333333344</v>
      </c>
      <c r="CK54" s="83"/>
      <c r="CL54" s="91"/>
      <c r="CM54" s="91"/>
      <c r="CN54" s="91"/>
      <c r="CO54" s="256" t="str">
        <f>IF(SCRF&gt;0,SCRMG/SCRF*100,"")</f>
        <v/>
      </c>
      <c r="CP54" s="283"/>
      <c r="CQ54" s="256">
        <f>SCRF*(SCRL1+SCRL2)/4+(SCRMG-SCRF/2)*(SCRL1+SCRL2)/3</f>
        <v>0</v>
      </c>
      <c r="CR54" s="256" t="str">
        <f>IF(CO54&lt;'Look Ups'!$AC$4,"Yes","No")</f>
        <v>No</v>
      </c>
      <c r="CS54" s="267">
        <f>IF(CR54="Yes",MIN(150,('Look Ups'!$AC$4-PSCR)/('Look Ups'!$AC$4-'Look Ups'!$AC$3)*100),0)</f>
        <v>0</v>
      </c>
      <c r="CT54" s="83"/>
      <c r="CU54" s="91"/>
      <c r="CV54" s="91"/>
      <c r="CW54" s="91"/>
      <c r="CX54" s="256" t="str">
        <f>IF(USCRF&gt;0,USCRMG/USCRF*100,"")</f>
        <v/>
      </c>
      <c r="CY54" s="293">
        <f>IF(PUSCR&lt;'Look Ups'!$AC$4,MIN(150,('Look Ups'!$AC$4-PUSCR)/('Look Ups'!$AC$4-'Look Ups'!$AC$3)*100),0)</f>
        <v>0</v>
      </c>
      <c r="CZ54" s="275">
        <f>IF(PUSCR&lt;'Look Ups'!$AC$4,USCRF*(USCRL1+USCRL2)/4+(USCRMG-USCRF/2)*(USCRL1+USCRL2)/3,0)</f>
        <v>0</v>
      </c>
      <c r="DA54" s="294">
        <f>IF(ZVAL=1,1,IF(LPM&gt;0,0.64*((AM+MAM)/(E+(MC/2))^2)^0.3,0))</f>
        <v>1</v>
      </c>
      <c r="DB54" s="256">
        <f>0.65*((AM+MAM)*EFM)+0.35*((AM+MAM)*ZVAL)</f>
        <v>22.018459</v>
      </c>
      <c r="DC54" s="256">
        <f>IF(ZVAL=1,1,IF(LPG&gt;0,0.72*(AG/(LPG^2))^0.3,0))</f>
        <v>1</v>
      </c>
      <c r="DD54" s="256">
        <f>AG*EFG</f>
        <v>9.0258079999999996</v>
      </c>
      <c r="DE54" s="256">
        <f>IF(AZ54&gt;0,'Look Ups'!$S$3,0)</f>
        <v>1</v>
      </c>
      <c r="DF54" s="256">
        <f>IF(LPS&gt;0,0.72*(AS/(LPS^2))^0.3,0)</f>
        <v>0</v>
      </c>
      <c r="DG54" s="256">
        <f>EFS*AS</f>
        <v>0</v>
      </c>
      <c r="DH54" s="256">
        <f>IF(LPD&gt;0,0.72*(AD/(LPD^2))^0.3,0)</f>
        <v>0</v>
      </c>
      <c r="DI54" s="280">
        <f>IF((AD-AG)&gt;0,0.3*(AD-AG)*EFD,0)</f>
        <v>0</v>
      </c>
      <c r="DJ54" s="295" t="str">
        <f>IF((SCRF=0),"-",IF(AND(MSASC&gt;AG,SCRMG&lt;(0.75*SCRF)),"valid","ERROR"))</f>
        <v>-</v>
      </c>
      <c r="DK54" s="266" t="str">
        <f>IF((SF=0),"-",IF((SMG&lt;(0.75*SF)),"ERROR",IF(AND(MSASP&gt;MSASC,MSASP&gt;AG,MSASP&gt;=0.36*RSAM),"valid","Small")))</f>
        <v>valid</v>
      </c>
      <c r="DL54" s="267" t="str">
        <f>IF(C54="","",CONCATENATE("MG",IF(FLSCR="valid","Scr",""),IF(FLSPI="valid","SP","")))</f>
        <v>MGSP</v>
      </c>
      <c r="DM54" s="294">
        <f>RSAM+RSAG</f>
        <v>31.044266999999998</v>
      </c>
      <c r="DN54" s="256">
        <f>IF(MSASP&gt;0,'Look Ups'!$AI$4*(ZVAL*MSASP-RSAG),0)</f>
        <v>11.037262600000004</v>
      </c>
      <c r="DO54" s="256">
        <f>IF(AND(MSASC&gt;0,(MSASC&gt;=0.36*RSAM)),('Look Ups'!$AI$3*(ZVAL*MSASC-RSAG)),(0))</f>
        <v>0</v>
      </c>
      <c r="DP54" s="256">
        <f>IF(MSASP&gt;0,'Look Ups'!$AI$5*(ZVAL*MSASP-RSAG),0)</f>
        <v>10.301445093333339</v>
      </c>
      <c r="DQ54" s="256">
        <f>IF(MSASC&gt;0,'Look Ups'!$AI$6*(MSASC-RSAG),0)</f>
        <v>0</v>
      </c>
      <c r="DR54" s="280">
        <f>'Look Ups'!$AI$7*MAX(IF(MSAUSC&gt;0,EUSC/100*(MSAUSC-RSAG),0),IF(CR54="Yes",ELSC/100*(MSASC-RSAG),0))</f>
        <v>0</v>
      </c>
      <c r="DS54" s="280">
        <f>0.36*RSAM</f>
        <v>7.92664524</v>
      </c>
      <c r="DT54" s="296">
        <f>_xlfn.IFS(SPC="MG",RAMG+DS54,SPC="MGScr",RAMG+RASCO,SPC="MGSp",RAMG+RASPO,SPC="MGScrSp",RAMG+RASPSC+RASCR)+RAUSC+RSAST+RSAD+RSAMZ+RSA2M</f>
        <v>42.081529600000003</v>
      </c>
      <c r="DU54" s="63"/>
    </row>
    <row r="55" spans="1:125" ht="15.6" customHeight="1" x14ac:dyDescent="0.3">
      <c r="A55" s="4"/>
      <c r="B55" s="373"/>
      <c r="C55" s="64" t="s">
        <v>1158</v>
      </c>
      <c r="D55" s="85" t="s">
        <v>1160</v>
      </c>
      <c r="E55" s="86" t="s">
        <v>1159</v>
      </c>
      <c r="F55" s="252">
        <f ca="1">IF(RW=0,0,ROUND(DLF*0.93*RL^LF*RSA^0.4/RW^0.325,3))</f>
        <v>0.86199999999999999</v>
      </c>
      <c r="G55" s="252" t="str">
        <f ca="1">IF(OR(FLSCR="ERROR",FLSPI="ERROR"),"No",IF(TODAY()-'Look Ups'!$D$4*365&gt;I55,"WP Applied","Yes"))</f>
        <v>Yes</v>
      </c>
      <c r="H55" s="253" t="str">
        <f>IF(SPC="","",CONCATENATE("Main-Genoa",IF(FLSCR="valid",IF(OR(CR55="Yes",MSAUSC&gt;0),"-Screacher (Upwind)","-Screacher"),""),IF(FLSPI="valid","-Spinnaker",""),IF(RSAMZ&gt;0,"-Mizzen",""),IF(RSA2M&gt;0,"-Second Main",""),IF(AS&gt;0,"-Staysail",""),IF(AD&gt;0,"-Drifter","")))</f>
        <v>Main-Genoa-Screacher (Upwind)-Spinnaker</v>
      </c>
      <c r="I55" s="1">
        <v>45603</v>
      </c>
      <c r="J55" s="1">
        <v>45741</v>
      </c>
      <c r="K55" s="87" t="s">
        <v>1215</v>
      </c>
      <c r="L55" s="87" t="s">
        <v>245</v>
      </c>
      <c r="M55" s="207"/>
      <c r="N55" s="97" t="s">
        <v>165</v>
      </c>
      <c r="O55" s="97" t="s">
        <v>154</v>
      </c>
      <c r="P55" s="100"/>
      <c r="Q55" s="90">
        <v>12.6</v>
      </c>
      <c r="R55" s="87"/>
      <c r="S55" s="256">
        <f>IF((LOAA&gt;LOA),0.025*LOAA,0.025*LOA)</f>
        <v>0.315</v>
      </c>
      <c r="T55" s="117">
        <v>0</v>
      </c>
      <c r="U55" s="117">
        <v>0</v>
      </c>
      <c r="V55" s="258">
        <f>IF((_xlfn.SINGLE(LOAA)&gt;_xlfn.SINGLE(LOA)),_xlfn.SINGLE(LOAA),_xlfn.SINGLE(LOA)-_xlfn.SINGLE(FOC)-_xlfn.SINGLE(AOC))</f>
        <v>12.6</v>
      </c>
      <c r="W55" s="259">
        <f>IF(RL&gt;0,IF(RL&gt;'Look Ups'!Y$7,'Look Ups'!Y$8,('Look Ups'!Y$3*RL^3+'Look Ups'!Y$4*RL^2+'Look Ups'!Y$5*RL+'Look Ups'!Y$6)),0)</f>
        <v>0.3</v>
      </c>
      <c r="X55" s="92">
        <v>4154</v>
      </c>
      <c r="Y55" s="262">
        <f ca="1">IF(WDATE&lt;(TODAY()-'Look Ups'!$D$4*365),-WM*'Look Ups'!$D$5/100,0)</f>
        <v>0</v>
      </c>
      <c r="Z55" s="93"/>
      <c r="AA55" s="93"/>
      <c r="AB55" s="75"/>
      <c r="AC55" s="265">
        <f>WCD+NC*'Look Ups'!$AF$3</f>
        <v>0</v>
      </c>
      <c r="AD55" s="265">
        <f ca="1">IF(RL&lt;'Look Ups'!AM$3,'Look Ups'!AM$4,IF(RL&gt;'Look Ups'!AM$5,'Look Ups'!AM$6,(RL-'Look Ups'!AM$3)/('Look Ups'!AM$5-'Look Ups'!AM$3)*('Look Ups'!AM$6-'Look Ups'!AM$4)+'Look Ups'!AM$4))/100*WS</f>
        <v>415.40000000000003</v>
      </c>
      <c r="AE55" s="266">
        <f ca="1">WM+WP+WE</f>
        <v>4154</v>
      </c>
      <c r="AF55" s="267">
        <f ca="1">_xlfn.SINGLE(WS)+IF(_xlfn.SINGLE(TCW)&gt;=_xlfn.SINGLE(CWA),_xlfn.SINGLE(CWA),_xlfn.SINGLE(TCW))</f>
        <v>4154</v>
      </c>
      <c r="AG55" s="94" t="s">
        <v>145</v>
      </c>
      <c r="AH55" s="95" t="s">
        <v>146</v>
      </c>
      <c r="AI55" s="96" t="s">
        <v>147</v>
      </c>
      <c r="AJ55" s="218"/>
      <c r="AK55" s="273">
        <f>IF(C55="",0,VLOOKUP(AG55,'Look Ups'!$F$3:$G$6,2,0)*VLOOKUP(AH55,'Look Ups'!$I$3:$J$5,2,0)*VLOOKUP(AI55,'Look Ups'!$L$3:$M$7,2,0)*IF(AJ55="",1,VLOOKUP(AJ55,'Look Ups'!$O$3:$P$4,2,0)))</f>
        <v>1</v>
      </c>
      <c r="AL55" s="83">
        <v>15.25</v>
      </c>
      <c r="AM55" s="91">
        <v>14.85</v>
      </c>
      <c r="AN55" s="91">
        <v>4.55</v>
      </c>
      <c r="AO55" s="91">
        <v>1.64</v>
      </c>
      <c r="AP55" s="91">
        <v>0.34</v>
      </c>
      <c r="AQ55" s="91">
        <v>15.33</v>
      </c>
      <c r="AR55" s="91">
        <v>0.16</v>
      </c>
      <c r="AS55" s="91">
        <v>4.5999999999999996</v>
      </c>
      <c r="AT55" s="91">
        <v>0.03</v>
      </c>
      <c r="AU55" s="91">
        <v>0</v>
      </c>
      <c r="AV55" s="91" t="s">
        <v>148</v>
      </c>
      <c r="AW55" s="97">
        <v>0</v>
      </c>
      <c r="AX55" s="256">
        <f>P+ER</f>
        <v>15.36</v>
      </c>
      <c r="AY55" s="256">
        <f>P*0.375*MC</f>
        <v>0</v>
      </c>
      <c r="AZ55" s="275">
        <f>IF(C55="",0,(0.5*(_ML1*LPM)+0.5*(_ML1*HB)+0.66*(P*PR)+0.66*(_ML2*RDM)+0.66*(E*ER))*VLOOKUP(BATT,'Look Ups'!$U$3:$V$4,2,0))</f>
        <v>52.241018000000004</v>
      </c>
      <c r="BA55" s="98"/>
      <c r="BB55" s="99"/>
      <c r="BC55" s="83">
        <v>14.26</v>
      </c>
      <c r="BD55" s="91">
        <v>4</v>
      </c>
      <c r="BE55" s="91">
        <v>4.26</v>
      </c>
      <c r="BF55" s="91">
        <v>0.41</v>
      </c>
      <c r="BG55" s="91">
        <v>13.13</v>
      </c>
      <c r="BH55" s="91">
        <v>13.13</v>
      </c>
      <c r="BI55" s="91">
        <v>0.1</v>
      </c>
      <c r="BJ55" s="91">
        <v>0.09</v>
      </c>
      <c r="BK55" s="91">
        <v>0.09</v>
      </c>
      <c r="BL55" s="97"/>
      <c r="BM55" s="275">
        <f>(0.5*LL*LPG)+(0.5*_LG1*HG)+(0.66*LL*LLRG)+(0.66*FG*FRG)+(IF((HG&gt;0),(0.66*_LG2*LRG),(0.66*_LG1*LRG)))</f>
        <v>31.956222</v>
      </c>
      <c r="BN55" s="282"/>
      <c r="BO55" s="283"/>
      <c r="BP55" s="284"/>
      <c r="BQ55" s="284"/>
      <c r="BR55" s="283"/>
      <c r="BS55" s="284"/>
      <c r="BT55" s="284"/>
      <c r="BU55" s="280">
        <f>(0.5*LLS*LPS)+(0.66*LLS*LLRS)+(0.66*LS*LRS)+(0.66*FS*FRS)</f>
        <v>0</v>
      </c>
      <c r="BV55" s="285"/>
      <c r="BW55" s="283"/>
      <c r="BX55" s="283"/>
      <c r="BY55" s="283"/>
      <c r="BZ55" s="283"/>
      <c r="CA55" s="283"/>
      <c r="CB55" s="283"/>
      <c r="CC55" s="275">
        <f>(0.5*LLD*LPD)+(0.66*LLD*LLRD)+(0.66*LCHD*LRD)+(0.66*FD*FRD)</f>
        <v>0</v>
      </c>
      <c r="CD55" s="98">
        <v>8.52</v>
      </c>
      <c r="CE55" s="91">
        <v>17.54</v>
      </c>
      <c r="CF55" s="91">
        <v>15.27</v>
      </c>
      <c r="CG55" s="91">
        <v>7.85</v>
      </c>
      <c r="CH55" s="266">
        <f>IF(SF&gt;0,SMG/SF*100,"")</f>
        <v>92.136150234741791</v>
      </c>
      <c r="CI55" s="283"/>
      <c r="CJ55" s="280">
        <f>SF*(_SL1+_SL2)/4+(SMG-SF/2)*(_SL1+_SL2)/3</f>
        <v>109.14793333333333</v>
      </c>
      <c r="CK55" s="83">
        <v>6.27</v>
      </c>
      <c r="CL55" s="91">
        <v>15.35</v>
      </c>
      <c r="CM55" s="91">
        <v>13.7</v>
      </c>
      <c r="CN55" s="91">
        <v>3.18</v>
      </c>
      <c r="CO55" s="256">
        <f>IF(SCRF&gt;0,SCRMG/SCRF*100,"")</f>
        <v>50.717703349282303</v>
      </c>
      <c r="CP55" s="283"/>
      <c r="CQ55" s="256">
        <f>SCRF*(SCRL1+SCRL2)/4+(SCRMG-SCRF/2)*(SCRL1+SCRL2)/3</f>
        <v>45.971624999999996</v>
      </c>
      <c r="CR55" s="256" t="str">
        <f>IF(CO55&lt;'Look Ups'!$AC$4,"Yes","No")</f>
        <v>Yes</v>
      </c>
      <c r="CS55" s="267">
        <f>IF(CR55="Yes",MIN(150,('Look Ups'!$AC$4-PSCR)/('Look Ups'!$AC$4-'Look Ups'!$AC$3)*100),0)</f>
        <v>25.645933014353943</v>
      </c>
      <c r="CT55" s="83"/>
      <c r="CU55" s="91"/>
      <c r="CV55" s="91"/>
      <c r="CW55" s="91"/>
      <c r="CX55" s="256" t="str">
        <f>IF(USCRF&gt;0,USCRMG/USCRF*100,"")</f>
        <v/>
      </c>
      <c r="CY55" s="293">
        <f>IF(PUSCR&lt;'Look Ups'!$AC$4,MIN(150,('Look Ups'!$AC$4-PUSCR)/('Look Ups'!$AC$4-'Look Ups'!$AC$3)*100),0)</f>
        <v>0</v>
      </c>
      <c r="CZ55" s="275">
        <f>IF(PUSCR&lt;'Look Ups'!$AC$4,USCRF*(USCRL1+USCRL2)/4+(USCRMG-USCRF/2)*(USCRL1+USCRL2)/3,0)</f>
        <v>0</v>
      </c>
      <c r="DA55" s="294">
        <f>IF(ZVAL=1,1,IF(LPM&gt;0,0.64*((AM+MAM)/(E+(MC/2))^2)^0.3,0))</f>
        <v>1</v>
      </c>
      <c r="DB55" s="256">
        <f>0.65*((AM+MAM)*EFM)+0.35*((AM+MAM)*ZVAL)</f>
        <v>52.241018000000004</v>
      </c>
      <c r="DC55" s="256">
        <f>IF(ZVAL=1,1,IF(LPG&gt;0,0.72*(AG/(LPG^2))^0.3,0))</f>
        <v>1</v>
      </c>
      <c r="DD55" s="256">
        <f>AG*EFG</f>
        <v>31.956222</v>
      </c>
      <c r="DE55" s="256">
        <f>IF(AZ55&gt;0,'Look Ups'!$S$3,0)</f>
        <v>1</v>
      </c>
      <c r="DF55" s="256">
        <f>IF(LPS&gt;0,0.72*(AS/(LPS^2))^0.3,0)</f>
        <v>0</v>
      </c>
      <c r="DG55" s="256">
        <f>EFS*AS</f>
        <v>0</v>
      </c>
      <c r="DH55" s="256">
        <f>IF(LPD&gt;0,0.72*(AD/(LPD^2))^0.3,0)</f>
        <v>0</v>
      </c>
      <c r="DI55" s="280">
        <f>IF((AD-AG)&gt;0,0.3*(AD-AG)*EFD,0)</f>
        <v>0</v>
      </c>
      <c r="DJ55" s="295" t="str">
        <f>IF((SCRF=0),"-",IF(AND(MSASC&gt;AG,SCRMG&lt;(0.75*SCRF)),"valid","ERROR"))</f>
        <v>valid</v>
      </c>
      <c r="DK55" s="266" t="str">
        <f>IF((SF=0),"-",IF((SMG&lt;(0.75*SF)),"ERROR",IF(AND(MSASP&gt;MSASC,MSASP&gt;AG,MSASP&gt;=0.36*RSAM),"valid","Small")))</f>
        <v>valid</v>
      </c>
      <c r="DL55" s="267" t="str">
        <f>IF(C55="","",CONCATENATE("MG",IF(FLSCR="valid","Scr",""),IF(FLSPI="valid","SP","")))</f>
        <v>MGScrSP</v>
      </c>
      <c r="DM55" s="294">
        <f>RSAM+RSAG</f>
        <v>84.197240000000008</v>
      </c>
      <c r="DN55" s="256">
        <f>IF(MSASP&gt;0,'Look Ups'!$AI$4*(ZVAL*MSASP-RSAG),0)</f>
        <v>23.157513399999999</v>
      </c>
      <c r="DO55" s="256">
        <f>IF(AND(MSASC&gt;0,(MSASC&gt;=0.36*RSAM)),('Look Ups'!$AI$3*(ZVAL*MSASC-RSAG)),(0))</f>
        <v>4.9053910499999978</v>
      </c>
      <c r="DP55" s="256">
        <f>IF(MSASP&gt;0,'Look Ups'!$AI$5*(ZVAL*MSASP-RSAG),0)</f>
        <v>21.613679173333335</v>
      </c>
      <c r="DQ55" s="256">
        <f>IF(MSASC&gt;0,'Look Ups'!$AI$6*(MSASC-RSAG),0)</f>
        <v>0.98107820999999984</v>
      </c>
      <c r="DR55" s="280">
        <f>'Look Ups'!$AI$7*MAX(IF(MSAUSC&gt;0,EUSC/100*(MSAUSC-RSAG),0),IF(CR55="Yes",ELSC/100*(MSASC-RSAG),0))</f>
        <v>0.89859521626793804</v>
      </c>
      <c r="DS55" s="280">
        <f>0.36*RSAM</f>
        <v>18.80676648</v>
      </c>
      <c r="DT55" s="296">
        <f>_xlfn.IFS(SPC="MG",RAMG+DS55,SPC="MGScr",RAMG+RASCO,SPC="MGSp",RAMG+RASPO,SPC="MGScrSp",RAMG+RASPSC+RASCR)+RAUSC+RSAST+RSAD+RSAMZ+RSA2M</f>
        <v>107.69059259960129</v>
      </c>
      <c r="DU55" s="63"/>
    </row>
    <row r="56" spans="1:125" ht="15.6" customHeight="1" x14ac:dyDescent="0.3">
      <c r="A56" s="4"/>
      <c r="B56" s="84"/>
      <c r="C56" s="64" t="s">
        <v>293</v>
      </c>
      <c r="D56" s="85" t="s">
        <v>294</v>
      </c>
      <c r="E56" s="86" t="s">
        <v>295</v>
      </c>
      <c r="F56" s="252">
        <f ca="1">IF(RW=0,0,ROUND(DLF*0.93*RL^LF*RSA^0.4/RW^0.325,3))</f>
        <v>0.9</v>
      </c>
      <c r="G56" s="252" t="str">
        <f ca="1">IF(OR(FLSCR="ERROR",FLSPI="ERROR"),"No",IF(TODAY()-'Look Ups'!$D$4*365&gt;I56,"WP Applied","Yes"))</f>
        <v>WP Applied</v>
      </c>
      <c r="H56" s="253" t="str">
        <f>IF(SPC="","",CONCATENATE("Main-Genoa",IF(FLSCR="valid",IF(OR(CR56="Yes",MSAUSC&gt;0),"-Screacher (Upwind)","-Screacher"),""),IF(FLSPI="valid","-Spinnaker",""),IF(RSAMZ&gt;0,"-Mizzen",""),IF(RSA2M&gt;0,"-Second Main",""),IF(AS&gt;0,"-Staysail",""),IF(AD&gt;0,"-Drifter","")))</f>
        <v>Main-Genoa-Screacher-Spinnaker</v>
      </c>
      <c r="I56" s="1">
        <v>41434</v>
      </c>
      <c r="J56" s="1">
        <v>43140</v>
      </c>
      <c r="K56" s="87" t="s">
        <v>296</v>
      </c>
      <c r="L56" s="87" t="s">
        <v>142</v>
      </c>
      <c r="M56" s="207"/>
      <c r="N56" s="97" t="s">
        <v>143</v>
      </c>
      <c r="O56" s="97" t="s">
        <v>154</v>
      </c>
      <c r="P56" s="100"/>
      <c r="Q56" s="90">
        <v>8.7200000000000006</v>
      </c>
      <c r="R56" s="87"/>
      <c r="S56" s="256">
        <f>IF((LOAA&gt;LOA),0.025*LOAA,0.025*LOA)</f>
        <v>0.21800000000000003</v>
      </c>
      <c r="T56" s="91">
        <v>0.02</v>
      </c>
      <c r="U56" s="91">
        <v>0</v>
      </c>
      <c r="V56" s="258">
        <f>IF((_xlfn.SINGLE(LOAA)&gt;_xlfn.SINGLE(LOA)),_xlfn.SINGLE(LOAA),_xlfn.SINGLE(LOA)-_xlfn.SINGLE(FOC)-_xlfn.SINGLE(AOC))</f>
        <v>8.7000000000000011</v>
      </c>
      <c r="W56" s="259">
        <f>IF(RL&gt;0,IF(RL&gt;'Look Ups'!Y$7,'Look Ups'!Y$8,('Look Ups'!Y$3*RL^3+'Look Ups'!Y$4*RL^2+'Look Ups'!Y$5*RL+'Look Ups'!Y$6)),0)</f>
        <v>0.29591459900000006</v>
      </c>
      <c r="X56" s="74">
        <v>1585</v>
      </c>
      <c r="Y56" s="262">
        <f ca="1">IF(WDATE&lt;(TODAY()-'Look Ups'!$D$4*365),-WM*'Look Ups'!$D$5/100,0)</f>
        <v>-237.75</v>
      </c>
      <c r="Z56" s="93"/>
      <c r="AA56" s="93"/>
      <c r="AB56" s="75"/>
      <c r="AC56" s="265">
        <f>WCD+NC*'Look Ups'!$AF$3</f>
        <v>0</v>
      </c>
      <c r="AD56" s="265">
        <f ca="1">IF(RL&lt;'Look Ups'!AM$3,'Look Ups'!AM$4,IF(RL&gt;'Look Ups'!AM$5,'Look Ups'!AM$6,(RL-'Look Ups'!AM$3)/('Look Ups'!AM$5-'Look Ups'!AM$3)*('Look Ups'!AM$6-'Look Ups'!AM$4)+'Look Ups'!AM$4))/100*WS</f>
        <v>306.19318181818176</v>
      </c>
      <c r="AE56" s="266">
        <f ca="1">WM+WP+WE</f>
        <v>1347.25</v>
      </c>
      <c r="AF56" s="267">
        <f ca="1">_xlfn.SINGLE(WS)+IF(_xlfn.SINGLE(TCW)&gt;=_xlfn.SINGLE(CWA),_xlfn.SINGLE(CWA),_xlfn.SINGLE(TCW))</f>
        <v>1347.25</v>
      </c>
      <c r="AG56" s="94" t="s">
        <v>145</v>
      </c>
      <c r="AH56" s="95" t="s">
        <v>146</v>
      </c>
      <c r="AI56" s="96" t="s">
        <v>147</v>
      </c>
      <c r="AJ56" s="218"/>
      <c r="AK56" s="273">
        <f>IF(C56="",0,VLOOKUP(AG56,'Look Ups'!$F$3:$G$6,2,0)*VLOOKUP(AH56,'Look Ups'!$I$3:$J$5,2,0)*VLOOKUP(AI56,'Look Ups'!$L$3:$M$7,2,0)*IF(AJ56="",1,VLOOKUP(AJ56,'Look Ups'!$O$3:$P$4,2,0)))</f>
        <v>1</v>
      </c>
      <c r="AL56" s="83">
        <v>10.84</v>
      </c>
      <c r="AM56" s="91">
        <v>10.62</v>
      </c>
      <c r="AN56" s="91">
        <v>3.5</v>
      </c>
      <c r="AO56" s="91">
        <v>1.2</v>
      </c>
      <c r="AP56" s="91">
        <v>0.35</v>
      </c>
      <c r="AQ56" s="91">
        <v>10.8</v>
      </c>
      <c r="AR56" s="91">
        <v>0.1</v>
      </c>
      <c r="AS56" s="91">
        <v>3.65</v>
      </c>
      <c r="AT56" s="91">
        <v>0</v>
      </c>
      <c r="AU56" s="91">
        <v>0.49</v>
      </c>
      <c r="AV56" s="91" t="s">
        <v>148</v>
      </c>
      <c r="AW56" s="97">
        <v>0</v>
      </c>
      <c r="AX56" s="256">
        <f>P+ER</f>
        <v>10.8</v>
      </c>
      <c r="AY56" s="256">
        <f>P*0.375*MC</f>
        <v>1.9845000000000004</v>
      </c>
      <c r="AZ56" s="275">
        <f>IF(C56="",0,(0.5*(_ML1*LPM)+0.5*(_ML1*HB)+0.66*(P*PR)+0.66*(_ML2*RDM)+0.66*(E*ER))*VLOOKUP(BATT,'Look Ups'!$U$3:$V$4,2,0))</f>
        <v>28.64002</v>
      </c>
      <c r="BA56" s="98"/>
      <c r="BB56" s="99"/>
      <c r="BC56" s="83">
        <v>8.82</v>
      </c>
      <c r="BD56" s="91">
        <v>3.3</v>
      </c>
      <c r="BE56" s="91">
        <v>3.57</v>
      </c>
      <c r="BF56" s="91">
        <v>0.21</v>
      </c>
      <c r="BG56" s="91">
        <v>7.94</v>
      </c>
      <c r="BH56" s="91">
        <v>7.8449999999999998</v>
      </c>
      <c r="BI56" s="91">
        <v>0.215</v>
      </c>
      <c r="BJ56" s="91">
        <v>0.12</v>
      </c>
      <c r="BK56" s="91">
        <v>3.5000000000000003E-2</v>
      </c>
      <c r="BL56" s="97"/>
      <c r="BM56" s="275">
        <f>(0.5*LL*LPG)+(0.5*_LG1*HG)+(0.66*LL*LLRG)+(0.66*FG*FRG)+(IF((HG&gt;0),(0.66*_LG2*LRG),(0.66*_LG1*LRG)))</f>
        <v>16.726418000000002</v>
      </c>
      <c r="BN56" s="282"/>
      <c r="BO56" s="283"/>
      <c r="BP56" s="284"/>
      <c r="BQ56" s="284"/>
      <c r="BR56" s="283"/>
      <c r="BS56" s="284"/>
      <c r="BT56" s="284"/>
      <c r="BU56" s="280">
        <f>(0.5*LLS*LPS)+(0.66*LLS*LLRS)+(0.66*LS*LRS)+(0.66*FS*FRS)</f>
        <v>0</v>
      </c>
      <c r="BV56" s="285"/>
      <c r="BW56" s="283"/>
      <c r="BX56" s="283"/>
      <c r="BY56" s="283"/>
      <c r="BZ56" s="283"/>
      <c r="CA56" s="283"/>
      <c r="CB56" s="283"/>
      <c r="CC56" s="275">
        <f>(0.5*LLD*LPD)+(0.66*LLD*LLRD)+(0.66*LCHD*LRD)+(0.66*FD*FRD)</f>
        <v>0</v>
      </c>
      <c r="CD56" s="98">
        <v>8.1</v>
      </c>
      <c r="CE56" s="91">
        <v>12.3</v>
      </c>
      <c r="CF56" s="91">
        <v>11.47</v>
      </c>
      <c r="CG56" s="91">
        <v>7.42</v>
      </c>
      <c r="CH56" s="266">
        <f>IF(SF&gt;0,SMG/SF*100,"")</f>
        <v>91.604938271604937</v>
      </c>
      <c r="CI56" s="283"/>
      <c r="CJ56" s="280">
        <f>SF*(_SL1+_SL2)/4+(SMG-SF/2)*(_SL1+_SL2)/3</f>
        <v>74.835883333333342</v>
      </c>
      <c r="CK56" s="83">
        <v>6.82</v>
      </c>
      <c r="CL56" s="91">
        <v>10.32</v>
      </c>
      <c r="CM56" s="91">
        <v>9.4</v>
      </c>
      <c r="CN56" s="91">
        <v>3.57</v>
      </c>
      <c r="CO56" s="256">
        <f>IF(SCRF&gt;0,SCRMG/SCRF*100,"")</f>
        <v>52.346041055718473</v>
      </c>
      <c r="CP56" s="283"/>
      <c r="CQ56" s="256">
        <f>SCRF*(SCRL1+SCRL2)/4+(SCRMG-SCRF/2)*(SCRL1+SCRL2)/3</f>
        <v>34.67433333333333</v>
      </c>
      <c r="CR56" s="256" t="str">
        <f>IF(CO56&lt;'Look Ups'!$AC$4,"Yes","No")</f>
        <v>No</v>
      </c>
      <c r="CS56" s="267">
        <f>IF(CR56="Yes",MIN(150,('Look Ups'!$AC$4-PSCR)/('Look Ups'!$AC$4-'Look Ups'!$AC$3)*100),0)</f>
        <v>0</v>
      </c>
      <c r="CT56" s="83"/>
      <c r="CU56" s="91"/>
      <c r="CV56" s="91"/>
      <c r="CW56" s="91"/>
      <c r="CX56" s="256" t="str">
        <f>IF(USCRF&gt;0,USCRMG/USCRF*100,"")</f>
        <v/>
      </c>
      <c r="CY56" s="293">
        <f>IF(PUSCR&lt;'Look Ups'!$AC$4,MIN(150,('Look Ups'!$AC$4-PUSCR)/('Look Ups'!$AC$4-'Look Ups'!$AC$3)*100),0)</f>
        <v>0</v>
      </c>
      <c r="CZ56" s="275">
        <f>IF(PUSCR&lt;'Look Ups'!$AC$4,USCRF*(USCRL1+USCRL2)/4+(USCRMG-USCRF/2)*(USCRL1+USCRL2)/3,0)</f>
        <v>0</v>
      </c>
      <c r="DA56" s="294">
        <f>IF(ZVAL=1,1,IF(LPM&gt;0,0.64*((AM+MAM)/(E+(MC/2))^2)^0.3,0))</f>
        <v>1</v>
      </c>
      <c r="DB56" s="256">
        <f>0.65*((AM+MAM)*EFM)+0.35*((AM+MAM)*ZVAL)</f>
        <v>30.624520000000004</v>
      </c>
      <c r="DC56" s="256">
        <f>IF(ZVAL=1,1,IF(LPG&gt;0,0.72*(AG/(LPG^2))^0.3,0))</f>
        <v>1</v>
      </c>
      <c r="DD56" s="256">
        <f>AG*EFG</f>
        <v>16.726418000000002</v>
      </c>
      <c r="DE56" s="256">
        <f>IF(AZ56&gt;0,'Look Ups'!$S$3,0)</f>
        <v>1</v>
      </c>
      <c r="DF56" s="256">
        <f>IF(LPS&gt;0,0.72*(AS/(LPS^2))^0.3,0)</f>
        <v>0</v>
      </c>
      <c r="DG56" s="256">
        <f>EFS*AS</f>
        <v>0</v>
      </c>
      <c r="DH56" s="256">
        <f>IF(LPD&gt;0,0.72*(AD/(LPD^2))^0.3,0)</f>
        <v>0</v>
      </c>
      <c r="DI56" s="280">
        <f>IF((AD-AG)&gt;0,0.3*(AD-AG)*EFD,0)</f>
        <v>0</v>
      </c>
      <c r="DJ56" s="295" t="str">
        <f>IF((SCRF=0),"-",IF(AND(MSASC&gt;AG,SCRMG&lt;(0.75*SCRF)),"valid","ERROR"))</f>
        <v>valid</v>
      </c>
      <c r="DK56" s="266" t="str">
        <f>IF((SF=0),"-",IF((SMG&lt;(0.75*SF)),"ERROR",IF(AND(MSASP&gt;MSASC,MSASP&gt;AG,MSASP&gt;=0.36*RSAM),"valid","Small")))</f>
        <v>valid</v>
      </c>
      <c r="DL56" s="267" t="str">
        <f>IF(C56="","",CONCATENATE("MG",IF(FLSCR="valid","Scr",""),IF(FLSPI="valid","SP","")))</f>
        <v>MGScrSP</v>
      </c>
      <c r="DM56" s="294">
        <f>RSAM+RSAG</f>
        <v>47.350938000000006</v>
      </c>
      <c r="DN56" s="256">
        <f>IF(MSASP&gt;0,'Look Ups'!$AI$4*(ZVAL*MSASP-RSAG),0)</f>
        <v>17.432839600000001</v>
      </c>
      <c r="DO56" s="256">
        <f>IF(AND(MSASC&gt;0,(MSASC&gt;=0.36*RSAM)),('Look Ups'!$AI$3*(ZVAL*MSASC-RSAG)),(0))</f>
        <v>6.281770366666664</v>
      </c>
      <c r="DP56" s="256">
        <f>IF(MSASP&gt;0,'Look Ups'!$AI$5*(ZVAL*MSASP-RSAG),0)</f>
        <v>16.270650293333336</v>
      </c>
      <c r="DQ56" s="256">
        <f>IF(MSASC&gt;0,'Look Ups'!$AI$6*(MSASC-RSAG),0)</f>
        <v>1.2563540733333329</v>
      </c>
      <c r="DR56" s="280">
        <f>'Look Ups'!$AI$7*MAX(IF(MSAUSC&gt;0,EUSC/100*(MSAUSC-RSAG),0),IF(CR56="Yes",ELSC/100*(MSASC-RSAG),0))</f>
        <v>0</v>
      </c>
      <c r="DS56" s="280">
        <f>0.36*RSAM</f>
        <v>11.024827200000001</v>
      </c>
      <c r="DT56" s="296">
        <f>_xlfn.IFS(SPC="MG",RAMG+DS56,SPC="MGScr",RAMG+RASCO,SPC="MGSp",RAMG+RASPO,SPC="MGScrSp",RAMG+RASPSC+RASCR)+RAUSC+RSAST+RSAD+RSAMZ+RSA2M</f>
        <v>64.877942366666673</v>
      </c>
      <c r="DU56" s="63"/>
    </row>
    <row r="57" spans="1:125" ht="15.6" customHeight="1" x14ac:dyDescent="0.3">
      <c r="A57" s="4"/>
      <c r="B57" s="64"/>
      <c r="C57" s="64" t="s">
        <v>1193</v>
      </c>
      <c r="D57" s="85" t="s">
        <v>306</v>
      </c>
      <c r="E57" s="86" t="s">
        <v>1194</v>
      </c>
      <c r="F57" s="252">
        <f ca="1">IF(RW=0,0,ROUND(DLF*0.93*RL^LF*RSA^0.4/RW^0.325,3))</f>
        <v>1.2270000000000001</v>
      </c>
      <c r="G57" s="252" t="str">
        <f ca="1">IF(OR(FLSCR="ERROR",FLSPI="ERROR"),"No",IF(TODAY()-'Look Ups'!$D$4*365&gt;I57,"WP Applied","Yes"))</f>
        <v>Yes</v>
      </c>
      <c r="H57" s="253" t="str">
        <f>IF(SPC="","",CONCATENATE("Main-Genoa",IF(FLSCR="valid",IF(OR(CR57="Yes",MSAUSC&gt;0),"-Screacher (Upwind)","-Screacher"),""),IF(FLSPI="valid","-Spinnaker",""),IF(RSAMZ&gt;0,"-Mizzen",""),IF(RSA2M&gt;0,"-Second Main",""),IF(AS&gt;0,"-Staysail",""),IF(AD&gt;0,"-Drifter","")))</f>
        <v>Main-Genoa-Screacher (Upwind)</v>
      </c>
      <c r="I57" s="1">
        <v>45511</v>
      </c>
      <c r="J57" s="1">
        <v>45512</v>
      </c>
      <c r="K57" s="87" t="s">
        <v>163</v>
      </c>
      <c r="L57" s="87" t="s">
        <v>164</v>
      </c>
      <c r="M57" s="207"/>
      <c r="N57" s="88" t="s">
        <v>165</v>
      </c>
      <c r="O57" s="88"/>
      <c r="P57" s="100"/>
      <c r="Q57" s="90">
        <v>9.98</v>
      </c>
      <c r="R57" s="87"/>
      <c r="S57" s="256">
        <f>IF((LOAA&gt;LOA),0.025*LOAA,0.025*LOA)</f>
        <v>0.24950000000000003</v>
      </c>
      <c r="T57" s="91"/>
      <c r="U57" s="91"/>
      <c r="V57" s="258">
        <f>IF((_xlfn.SINGLE(LOAA)&gt;_xlfn.SINGLE(LOA)),_xlfn.SINGLE(LOAA),_xlfn.SINGLE(LOA)-_xlfn.SINGLE(FOC)-_xlfn.SINGLE(AOC))</f>
        <v>9.98</v>
      </c>
      <c r="W57" s="259">
        <f>IF(RL&gt;0,IF(RL&gt;'Look Ups'!Y$7,'Look Ups'!Y$8,('Look Ups'!Y$3*RL^3+'Look Ups'!Y$4*RL^2+'Look Ups'!Y$5*RL+'Look Ups'!Y$6)),0)</f>
        <v>0.298471835736</v>
      </c>
      <c r="X57" s="92">
        <v>1135</v>
      </c>
      <c r="Y57" s="262">
        <f ca="1">IF(WDATE&lt;(TODAY()-'Look Ups'!$D$4*365),-WM*'Look Ups'!$D$5/100,0)</f>
        <v>0</v>
      </c>
      <c r="Z57" s="93"/>
      <c r="AA57" s="93"/>
      <c r="AB57" s="75"/>
      <c r="AC57" s="265">
        <f>WCD+NC*'Look Ups'!$AF$3</f>
        <v>0</v>
      </c>
      <c r="AD57" s="265">
        <f ca="1">IF(RL&lt;'Look Ups'!AM$3,'Look Ups'!AM$4,IF(RL&gt;'Look Ups'!AM$5,'Look Ups'!AM$6,(RL-'Look Ups'!AM$3)/('Look Ups'!AM$5-'Look Ups'!AM$3)*('Look Ups'!AM$6-'Look Ups'!AM$4)+'Look Ups'!AM$4))/100*WS</f>
        <v>205.12545454545452</v>
      </c>
      <c r="AE57" s="266">
        <f ca="1">WM+WP+WE</f>
        <v>1135</v>
      </c>
      <c r="AF57" s="267">
        <f ca="1">_xlfn.SINGLE(WS)+IF(_xlfn.SINGLE(TCW)&gt;=_xlfn.SINGLE(CWA),_xlfn.SINGLE(CWA),_xlfn.SINGLE(TCW))</f>
        <v>1135</v>
      </c>
      <c r="AG57" s="94" t="s">
        <v>145</v>
      </c>
      <c r="AH57" s="95" t="s">
        <v>309</v>
      </c>
      <c r="AI57" s="96" t="s">
        <v>147</v>
      </c>
      <c r="AJ57" s="218"/>
      <c r="AK57" s="273">
        <f>IF(C57="",0,VLOOKUP(AG57,'Look Ups'!$F$3:$G$6,2,0)*VLOOKUP(AH57,'Look Ups'!$I$3:$J$5,2,0)*VLOOKUP(AI57,'Look Ups'!$L$3:$M$7,2,0)*IF(AJ57="",1,VLOOKUP(AJ57,'Look Ups'!$O$3:$P$4,2,0)))</f>
        <v>1</v>
      </c>
      <c r="AL57" s="83">
        <v>16.079999999999998</v>
      </c>
      <c r="AM57" s="91">
        <v>15.78</v>
      </c>
      <c r="AN57" s="91">
        <v>4.22</v>
      </c>
      <c r="AO57" s="91">
        <v>1.84</v>
      </c>
      <c r="AP57" s="91">
        <v>0.28000000000000003</v>
      </c>
      <c r="AQ57" s="91">
        <v>15.8</v>
      </c>
      <c r="AR57" s="91">
        <v>0.22</v>
      </c>
      <c r="AS57" s="91">
        <v>4.33</v>
      </c>
      <c r="AT57" s="91">
        <v>0</v>
      </c>
      <c r="AU57" s="91">
        <v>0.75</v>
      </c>
      <c r="AV57" s="91" t="s">
        <v>148</v>
      </c>
      <c r="AW57" s="97"/>
      <c r="AX57" s="256">
        <f>P+ER</f>
        <v>15.8</v>
      </c>
      <c r="AY57" s="256">
        <f>P*0.375*MC</f>
        <v>4.4437500000000005</v>
      </c>
      <c r="AZ57" s="275">
        <f>IF(C57="",0,(0.5*(_ML1*LPM)+0.5*(_ML1*HB)+0.66*(P*PR)+0.66*(_ML2*RDM)+0.66*(E*ER))*VLOOKUP(BATT,'Look Ups'!$U$3:$V$4,2,0))</f>
        <v>53.932703999999994</v>
      </c>
      <c r="BA57" s="98"/>
      <c r="BB57" s="99"/>
      <c r="BC57" s="83">
        <v>13.02</v>
      </c>
      <c r="BD57" s="91">
        <v>3.17</v>
      </c>
      <c r="BE57" s="91">
        <v>3.33</v>
      </c>
      <c r="BF57" s="91">
        <v>0.06</v>
      </c>
      <c r="BG57" s="91">
        <v>12.4</v>
      </c>
      <c r="BH57" s="91">
        <v>12.44</v>
      </c>
      <c r="BI57" s="91">
        <v>0.36</v>
      </c>
      <c r="BJ57" s="91">
        <v>0.04</v>
      </c>
      <c r="BK57" s="91">
        <v>0</v>
      </c>
      <c r="BL57" s="97"/>
      <c r="BM57" s="275">
        <f>(0.5*LL*LPG)+(0.5*_LG1*HG)+(0.66*LL*LLRG)+(0.66*FG*FRG)+(IF((HG&gt;0),(0.66*_LG2*LRG),(0.66*_LG1*LRG)))</f>
        <v>23.328983999999998</v>
      </c>
      <c r="BN57" s="282"/>
      <c r="BO57" s="283"/>
      <c r="BP57" s="284"/>
      <c r="BQ57" s="284"/>
      <c r="BR57" s="283"/>
      <c r="BS57" s="284"/>
      <c r="BT57" s="284"/>
      <c r="BU57" s="280">
        <f>(0.5*LLS*LPS)+(0.66*LLS*LLRS)+(0.66*LS*LRS)+(0.66*FS*FRS)</f>
        <v>0</v>
      </c>
      <c r="BV57" s="285"/>
      <c r="BW57" s="283"/>
      <c r="BX57" s="283"/>
      <c r="BY57" s="283"/>
      <c r="BZ57" s="283"/>
      <c r="CA57" s="283"/>
      <c r="CB57" s="283"/>
      <c r="CC57" s="275">
        <f>(0.5*LLD*LPD)+(0.66*LLD*LLRD)+(0.66*LCHD*LRD)+(0.66*FD*FRD)</f>
        <v>0</v>
      </c>
      <c r="CD57" s="98"/>
      <c r="CE57" s="91"/>
      <c r="CF57" s="91"/>
      <c r="CG57" s="91"/>
      <c r="CH57" s="266" t="str">
        <f>IF(SF&gt;0,SMG/SF*100,"")</f>
        <v/>
      </c>
      <c r="CI57" s="283"/>
      <c r="CJ57" s="280">
        <f>SF*(_SL1+_SL2)/4+(SMG-SF/2)*(_SL1+_SL2)/3</f>
        <v>0</v>
      </c>
      <c r="CK57" s="83">
        <v>10.56</v>
      </c>
      <c r="CL57" s="91">
        <v>17.260000000000002</v>
      </c>
      <c r="CM57" s="91">
        <v>15.65</v>
      </c>
      <c r="CN57" s="91">
        <v>5.33</v>
      </c>
      <c r="CO57" s="256">
        <f>IF(SCRF&gt;0,SCRMG/SCRF*100,"")</f>
        <v>50.473484848484851</v>
      </c>
      <c r="CP57" s="283"/>
      <c r="CQ57" s="256">
        <f>SCRF*(SCRL1+SCRL2)/4+(SCRMG-SCRF/2)*(SCRL1+SCRL2)/3</f>
        <v>87.430900000000022</v>
      </c>
      <c r="CR57" s="256" t="str">
        <f>IF(CO57&lt;'Look Ups'!$AC$4,"Yes","No")</f>
        <v>Yes</v>
      </c>
      <c r="CS57" s="267">
        <f>IF(CR57="Yes",MIN(150,('Look Ups'!$AC$4-PSCR)/('Look Ups'!$AC$4-'Look Ups'!$AC$3)*100),0)</f>
        <v>30.530303030302974</v>
      </c>
      <c r="CT57" s="83"/>
      <c r="CU57" s="91"/>
      <c r="CV57" s="91"/>
      <c r="CW57" s="91"/>
      <c r="CX57" s="256" t="str">
        <f>IF(USCRF&gt;0,USCRMG/USCRF*100,"")</f>
        <v/>
      </c>
      <c r="CY57" s="293">
        <f>IF(PUSCR&lt;'Look Ups'!$AC$4,MIN(150,('Look Ups'!$AC$4-PUSCR)/('Look Ups'!$AC$4-'Look Ups'!$AC$3)*100),0)</f>
        <v>0</v>
      </c>
      <c r="CZ57" s="275">
        <f>IF(PUSCR&lt;'Look Ups'!$AC$4,USCRF*(USCRL1+USCRL2)/4+(USCRMG-USCRF/2)*(USCRL1+USCRL2)/3,0)</f>
        <v>0</v>
      </c>
      <c r="DA57" s="294">
        <f>IF(ZVAL=1,1,IF(LPM&gt;0,0.64*((AM+MAM)/(E+(MC/2))^2)^0.3,0))</f>
        <v>1</v>
      </c>
      <c r="DB57" s="256">
        <f>0.65*((AM+MAM)*EFM)+0.35*((AM+MAM)*ZVAL)</f>
        <v>58.376453999999995</v>
      </c>
      <c r="DC57" s="256">
        <f>IF(ZVAL=1,1,IF(LPG&gt;0,0.72*(AG/(LPG^2))^0.3,0))</f>
        <v>1</v>
      </c>
      <c r="DD57" s="256">
        <f>AG*EFG</f>
        <v>23.328983999999998</v>
      </c>
      <c r="DE57" s="256">
        <f>IF(AZ57&gt;0,'Look Ups'!$S$3,0)</f>
        <v>1</v>
      </c>
      <c r="DF57" s="256">
        <f>IF(LPS&gt;0,0.72*(AS/(LPS^2))^0.3,0)</f>
        <v>0</v>
      </c>
      <c r="DG57" s="256">
        <f>EFS*AS</f>
        <v>0</v>
      </c>
      <c r="DH57" s="256">
        <f>IF(LPD&gt;0,0.72*(AD/(LPD^2))^0.3,0)</f>
        <v>0</v>
      </c>
      <c r="DI57" s="280">
        <f>IF((AD-AG)&gt;0,0.3*(AD-AG)*EFD,0)</f>
        <v>0</v>
      </c>
      <c r="DJ57" s="295" t="str">
        <f>IF((SCRF=0),"-",IF(AND(MSASC&gt;AG,SCRMG&lt;(0.75*SCRF)),"valid","ERROR"))</f>
        <v>valid</v>
      </c>
      <c r="DK57" s="266" t="str">
        <f>IF((SF=0),"-",IF((SMG&lt;(0.75*SF)),"ERROR",IF(AND(MSASP&gt;MSASC,MSASP&gt;AG,MSASP&gt;=0.36*RSAM),"valid","Small")))</f>
        <v>-</v>
      </c>
      <c r="DL57" s="267" t="str">
        <f>IF(C57="","",CONCATENATE("MG",IF(FLSCR="valid","Scr",""),IF(FLSPI="valid","SP","")))</f>
        <v>MGScr</v>
      </c>
      <c r="DM57" s="294">
        <f>RSAM+RSAG</f>
        <v>81.705437999999987</v>
      </c>
      <c r="DN57" s="256">
        <f>IF(MSASP&gt;0,'Look Ups'!$AI$4*(ZVAL*MSASP-RSAG),0)</f>
        <v>0</v>
      </c>
      <c r="DO57" s="256">
        <f>IF(AND(MSASC&gt;0,(MSASC&gt;=0.36*RSAM)),('Look Ups'!$AI$3*(ZVAL*MSASC-RSAG)),(0))</f>
        <v>22.435670600000005</v>
      </c>
      <c r="DP57" s="256">
        <f>IF(MSASP&gt;0,'Look Ups'!$AI$5*(ZVAL*MSASP-RSAG),0)</f>
        <v>0</v>
      </c>
      <c r="DQ57" s="256">
        <f>IF(MSASC&gt;0,'Look Ups'!$AI$6*(MSASC-RSAG),0)</f>
        <v>4.4871341200000012</v>
      </c>
      <c r="DR57" s="280">
        <f>'Look Ups'!$AI$7*MAX(IF(MSAUSC&gt;0,EUSC/100*(MSAUSC-RSAG),0),IF(CR57="Yes",ELSC/100*(MSASC-RSAG),0))</f>
        <v>4.8926273007575682</v>
      </c>
      <c r="DS57" s="280">
        <f>0.36*RSAM</f>
        <v>21.015523439999999</v>
      </c>
      <c r="DT57" s="296">
        <f>_xlfn.IFS(SPC="MG",RAMG+DS57,SPC="MGScr",RAMG+RASCO,SPC="MGSp",RAMG+RASPO,SPC="MGScrSp",RAMG+RASPSC+RASCR)+RAUSC+RSAST+RSAD+RSAMZ+RSA2M</f>
        <v>109.03373590075756</v>
      </c>
      <c r="DU57" s="63"/>
    </row>
    <row r="58" spans="1:125" ht="15.6" customHeight="1" x14ac:dyDescent="0.3">
      <c r="A58" s="4"/>
      <c r="B58" s="64"/>
      <c r="C58" s="64" t="s">
        <v>297</v>
      </c>
      <c r="D58" s="85" t="s">
        <v>298</v>
      </c>
      <c r="E58" s="86" t="s">
        <v>299</v>
      </c>
      <c r="F58" s="252">
        <f ca="1">IF(RW=0,0,ROUND(DLF*0.93*RL^LF*RSA^0.4/RW^0.325,3))</f>
        <v>1.022</v>
      </c>
      <c r="G58" s="252" t="str">
        <f ca="1">IF(OR(FLSCR="ERROR",FLSPI="ERROR"),"No",IF(TODAY()-'Look Ups'!$D$4*365&gt;I58,"WP Applied","Yes"))</f>
        <v>Yes</v>
      </c>
      <c r="H58" s="253" t="str">
        <f>IF(SPC="","",CONCATENATE("Main-Genoa",IF(FLSCR="valid",IF(OR(CR58="Yes",MSAUSC&gt;0),"-Screacher (Upwind)","-Screacher"),""),IF(FLSPI="valid","-Spinnaker",""),IF(RSAMZ&gt;0,"-Mizzen",""),IF(RSA2M&gt;0,"-Second Main",""),IF(AS&gt;0,"-Staysail",""),IF(AD&gt;0,"-Drifter","")))</f>
        <v>Main-Genoa-Screacher</v>
      </c>
      <c r="I58" s="1">
        <v>44748</v>
      </c>
      <c r="J58" s="1">
        <v>45506</v>
      </c>
      <c r="K58" s="87" t="s">
        <v>244</v>
      </c>
      <c r="L58" s="87" t="s">
        <v>164</v>
      </c>
      <c r="M58" s="207"/>
      <c r="N58" s="97" t="s">
        <v>165</v>
      </c>
      <c r="O58" s="97" t="s">
        <v>300</v>
      </c>
      <c r="P58" s="100"/>
      <c r="Q58" s="90">
        <v>8.01</v>
      </c>
      <c r="R58" s="87"/>
      <c r="S58" s="256">
        <f>IF((LOAA&gt;LOA),0.025*LOAA,0.025*LOA)</f>
        <v>0.20025000000000001</v>
      </c>
      <c r="T58" s="91">
        <v>0</v>
      </c>
      <c r="U58" s="91">
        <v>0</v>
      </c>
      <c r="V58" s="258">
        <f>IF((_xlfn.SINGLE(LOAA)&gt;_xlfn.SINGLE(LOA)),_xlfn.SINGLE(LOAA),_xlfn.SINGLE(LOA)-_xlfn.SINGLE(FOC)-_xlfn.SINGLE(AOC))</f>
        <v>8.01</v>
      </c>
      <c r="W58" s="259">
        <f>IF(RL&gt;0,IF(RL&gt;'Look Ups'!Y$7,'Look Ups'!Y$8,('Look Ups'!Y$3*RL^3+'Look Ups'!Y$4*RL^2+'Look Ups'!Y$5*RL+'Look Ups'!Y$6)),0)</f>
        <v>0.29383029923300003</v>
      </c>
      <c r="X58" s="92">
        <v>1013</v>
      </c>
      <c r="Y58" s="262">
        <f ca="1">IF(WDATE&lt;(TODAY()-'Look Ups'!$D$4*365),-WM*'Look Ups'!$D$5/100,0)</f>
        <v>0</v>
      </c>
      <c r="Z58" s="93"/>
      <c r="AA58" s="93"/>
      <c r="AB58" s="75"/>
      <c r="AC58" s="265">
        <f>WCD+NC*'Look Ups'!$AF$3</f>
        <v>0</v>
      </c>
      <c r="AD58" s="265">
        <f ca="1">IF(RL&lt;'Look Ups'!AM$3,'Look Ups'!AM$4,IF(RL&gt;'Look Ups'!AM$5,'Look Ups'!AM$6,(RL-'Look Ups'!AM$3)/('Look Ups'!AM$5-'Look Ups'!AM$3)*('Look Ups'!AM$6-'Look Ups'!AM$4)+'Look Ups'!AM$4))/100*WS</f>
        <v>255.64436363636361</v>
      </c>
      <c r="AE58" s="266">
        <f ca="1">WM+WP+WE</f>
        <v>1013</v>
      </c>
      <c r="AF58" s="267">
        <f ca="1">_xlfn.SINGLE(WS)+IF(_xlfn.SINGLE(TCW)&gt;=_xlfn.SINGLE(CWA),_xlfn.SINGLE(CWA),_xlfn.SINGLE(TCW))</f>
        <v>1013</v>
      </c>
      <c r="AG58" s="94" t="s">
        <v>301</v>
      </c>
      <c r="AH58" s="95" t="s">
        <v>302</v>
      </c>
      <c r="AI58" s="96" t="s">
        <v>147</v>
      </c>
      <c r="AJ58" s="218"/>
      <c r="AK58" s="273">
        <f>IF(C58="",0,VLOOKUP(AG58,'Look Ups'!$F$3:$G$6,2,0)*VLOOKUP(AH58,'Look Ups'!$I$3:$J$5,2,0)*VLOOKUP(AI58,'Look Ups'!$L$3:$M$7,2,0)*IF(AJ58="",1,VLOOKUP(AJ58,'Look Ups'!$O$3:$P$4,2,0)))</f>
        <v>1</v>
      </c>
      <c r="AL58" s="83">
        <v>13.45</v>
      </c>
      <c r="AM58" s="91">
        <v>13.26</v>
      </c>
      <c r="AN58" s="91">
        <v>3.67</v>
      </c>
      <c r="AO58" s="91">
        <v>1.1759999999999999</v>
      </c>
      <c r="AP58" s="91">
        <v>0.69899999999999995</v>
      </c>
      <c r="AQ58" s="91">
        <v>13.2</v>
      </c>
      <c r="AR58" s="91">
        <v>0.03</v>
      </c>
      <c r="AS58" s="91">
        <v>3.74</v>
      </c>
      <c r="AT58" s="91">
        <v>0.09</v>
      </c>
      <c r="AU58" s="91">
        <v>0.61</v>
      </c>
      <c r="AV58" s="91" t="s">
        <v>148</v>
      </c>
      <c r="AW58" s="97">
        <v>0</v>
      </c>
      <c r="AX58" s="256">
        <f>P+ER</f>
        <v>13.29</v>
      </c>
      <c r="AY58" s="256">
        <f>P*0.375*MC</f>
        <v>3.0194999999999994</v>
      </c>
      <c r="AZ58" s="275">
        <f>IF(C58="",0,(0.5*(_ML1*LPM)+0.5*(_ML1*HB)+0.66*(P*PR)+0.66*(_ML2*RDM)+0.66*(E*ER))*VLOOKUP(BATT,'Look Ups'!$U$3:$V$4,2,0))</f>
        <v>39.190234399999994</v>
      </c>
      <c r="BA58" s="98"/>
      <c r="BB58" s="99"/>
      <c r="BC58" s="83">
        <v>12.45</v>
      </c>
      <c r="BD58" s="91">
        <v>2.6030000000000002</v>
      </c>
      <c r="BE58" s="91">
        <v>2.7029999999999998</v>
      </c>
      <c r="BF58" s="91">
        <v>1.2999999999999999E-2</v>
      </c>
      <c r="BG58" s="91">
        <v>11.912000000000001</v>
      </c>
      <c r="BH58" s="91">
        <v>11.893000000000001</v>
      </c>
      <c r="BI58" s="91">
        <v>8.2000000000000003E-2</v>
      </c>
      <c r="BJ58" s="91">
        <v>4.2000000000000003E-2</v>
      </c>
      <c r="BK58" s="91">
        <v>6.9500000000000006E-2</v>
      </c>
      <c r="BL58" s="97"/>
      <c r="BM58" s="275">
        <f>(0.5*LL*LPG)+(0.5*_LG1*HG)+(0.66*LL*LLRG)+(0.66*FG*FRG)+(IF((HG&gt;0),(0.66*_LG2*LRG),(0.66*_LG1*LRG)))</f>
        <v>17.616014200000006</v>
      </c>
      <c r="BN58" s="282"/>
      <c r="BO58" s="283"/>
      <c r="BP58" s="284"/>
      <c r="BQ58" s="284"/>
      <c r="BR58" s="283"/>
      <c r="BS58" s="284"/>
      <c r="BT58" s="284"/>
      <c r="BU58" s="280">
        <f>(0.5*LLS*LPS)+(0.66*LLS*LLRS)+(0.66*LS*LRS)+(0.66*FS*FRS)</f>
        <v>0</v>
      </c>
      <c r="BV58" s="285"/>
      <c r="BW58" s="283"/>
      <c r="BX58" s="283"/>
      <c r="BY58" s="283"/>
      <c r="BZ58" s="283"/>
      <c r="CA58" s="283"/>
      <c r="CB58" s="283"/>
      <c r="CC58" s="275">
        <f>(0.5*LLD*LPD)+(0.66*LLD*LLRD)+(0.66*LCHD*LRD)+(0.66*FD*FRD)</f>
        <v>0</v>
      </c>
      <c r="CD58" s="98"/>
      <c r="CE58" s="91"/>
      <c r="CF58" s="91"/>
      <c r="CG58" s="91"/>
      <c r="CH58" s="266" t="str">
        <f>IF(SF&gt;0,SMG/SF*100,"")</f>
        <v/>
      </c>
      <c r="CI58" s="283"/>
      <c r="CJ58" s="280">
        <f>SF*(_SL1+_SL2)/4+(SMG-SF/2)*(_SL1+_SL2)/3</f>
        <v>0</v>
      </c>
      <c r="CK58" s="83">
        <v>8.3010000000000002</v>
      </c>
      <c r="CL58" s="91">
        <v>14.393000000000001</v>
      </c>
      <c r="CM58" s="91">
        <v>13.64</v>
      </c>
      <c r="CN58" s="91">
        <v>4.7489999999999997</v>
      </c>
      <c r="CO58" s="256">
        <f>IF(SCRF&gt;0,SCRMG/SCRF*100,"")</f>
        <v>57.209974701843144</v>
      </c>
      <c r="CP58" s="283"/>
      <c r="CQ58" s="256">
        <f>SCRF*(SCRL1+SCRL2)/4+(SCRMG-SCRF/2)*(SCRL1+SCRL2)/3</f>
        <v>63.768066750000003</v>
      </c>
      <c r="CR58" s="256" t="str">
        <f>IF(CO58&lt;'Look Ups'!$AC$4,"Yes","No")</f>
        <v>No</v>
      </c>
      <c r="CS58" s="267">
        <f>IF(CR58="Yes",MIN(150,('Look Ups'!$AC$4-PSCR)/('Look Ups'!$AC$4-'Look Ups'!$AC$3)*100),0)</f>
        <v>0</v>
      </c>
      <c r="CT58" s="83"/>
      <c r="CU58" s="91"/>
      <c r="CV58" s="91"/>
      <c r="CW58" s="91"/>
      <c r="CX58" s="256" t="str">
        <f>IF(USCRF&gt;0,USCRMG/USCRF*100,"")</f>
        <v/>
      </c>
      <c r="CY58" s="293">
        <f>IF(PUSCR&lt;'Look Ups'!$AC$4,MIN(150,('Look Ups'!$AC$4-PUSCR)/('Look Ups'!$AC$4-'Look Ups'!$AC$3)*100),0)</f>
        <v>0</v>
      </c>
      <c r="CZ58" s="275">
        <f>IF(PUSCR&lt;'Look Ups'!$AC$4,USCRF*(USCRL1+USCRL2)/4+(USCRMG-USCRF/2)*(USCRL1+USCRL2)/3,0)</f>
        <v>0</v>
      </c>
      <c r="DA58" s="294">
        <f>IF(ZVAL=1,1,IF(LPM&gt;0,0.64*((AM+MAM)/(E+(MC/2))^2)^0.3,0))</f>
        <v>1</v>
      </c>
      <c r="DB58" s="256">
        <f>0.65*((AM+MAM)*EFM)+0.35*((AM+MAM)*ZVAL)</f>
        <v>42.209734399999995</v>
      </c>
      <c r="DC58" s="256">
        <f>IF(ZVAL=1,1,IF(LPG&gt;0,0.72*(AG/(LPG^2))^0.3,0))</f>
        <v>1</v>
      </c>
      <c r="DD58" s="256">
        <f>AG*EFG</f>
        <v>17.616014200000006</v>
      </c>
      <c r="DE58" s="256">
        <f>IF(AZ58&gt;0,'Look Ups'!$S$3,0)</f>
        <v>1</v>
      </c>
      <c r="DF58" s="256">
        <f>IF(LPS&gt;0,0.72*(AS/(LPS^2))^0.3,0)</f>
        <v>0</v>
      </c>
      <c r="DG58" s="256">
        <f>EFS*AS</f>
        <v>0</v>
      </c>
      <c r="DH58" s="256">
        <f>IF(LPD&gt;0,0.72*(AD/(LPD^2))^0.3,0)</f>
        <v>0</v>
      </c>
      <c r="DI58" s="280">
        <f>IF((AD-AG)&gt;0,0.3*(AD-AG)*EFD,0)</f>
        <v>0</v>
      </c>
      <c r="DJ58" s="295" t="str">
        <f>IF((SCRF=0),"-",IF(AND(MSASC&gt;AG,SCRMG&lt;(0.75*SCRF)),"valid","ERROR"))</f>
        <v>valid</v>
      </c>
      <c r="DK58" s="266" t="str">
        <f>IF((SF=0),"-",IF((SMG&lt;(0.75*SF)),"ERROR",IF(AND(MSASP&gt;MSASC,MSASP&gt;AG,MSASP&gt;=0.36*RSAM),"valid","Small")))</f>
        <v>-</v>
      </c>
      <c r="DL58" s="267" t="str">
        <f>IF(C58="","",CONCATENATE("MG",IF(FLSCR="valid","Scr",""),IF(FLSPI="valid","SP","")))</f>
        <v>MGScr</v>
      </c>
      <c r="DM58" s="294">
        <f>RSAM+RSAG</f>
        <v>59.825748599999997</v>
      </c>
      <c r="DN58" s="256">
        <f>IF(MSASP&gt;0,'Look Ups'!$AI$4*(ZVAL*MSASP-RSAG),0)</f>
        <v>0</v>
      </c>
      <c r="DO58" s="256">
        <f>IF(AND(MSASC&gt;0,(MSASC&gt;=0.36*RSAM)),('Look Ups'!$AI$3*(ZVAL*MSASC-RSAG)),(0))</f>
        <v>16.153218392499998</v>
      </c>
      <c r="DP58" s="256">
        <f>IF(MSASP&gt;0,'Look Ups'!$AI$5*(ZVAL*MSASP-RSAG),0)</f>
        <v>0</v>
      </c>
      <c r="DQ58" s="256">
        <f>IF(MSASC&gt;0,'Look Ups'!$AI$6*(MSASC-RSAG),0)</f>
        <v>3.2306436784999999</v>
      </c>
      <c r="DR58" s="280">
        <f>'Look Ups'!$AI$7*MAX(IF(MSAUSC&gt;0,EUSC/100*(MSAUSC-RSAG),0),IF(CR58="Yes",ELSC/100*(MSASC-RSAG),0))</f>
        <v>0</v>
      </c>
      <c r="DS58" s="280">
        <f>0.36*RSAM</f>
        <v>15.195504383999998</v>
      </c>
      <c r="DT58" s="296">
        <f>_xlfn.IFS(SPC="MG",RAMG+DS58,SPC="MGScr",RAMG+RASCO,SPC="MGSp",RAMG+RASPO,SPC="MGScrSp",RAMG+RASPSC+RASCR)+RAUSC+RSAST+RSAD+RSAMZ+RSA2M</f>
        <v>75.978966992499991</v>
      </c>
      <c r="DU58" s="63"/>
    </row>
    <row r="59" spans="1:125" ht="15.6" customHeight="1" x14ac:dyDescent="0.3">
      <c r="A59" s="4"/>
      <c r="B59" s="84"/>
      <c r="C59" s="64" t="s">
        <v>303</v>
      </c>
      <c r="D59" s="85" t="s">
        <v>304</v>
      </c>
      <c r="E59" s="426" t="s">
        <v>240</v>
      </c>
      <c r="F59" s="252">
        <f ca="1">IF(RW=0,0,ROUND(DLF*0.93*RL^LF*RSA^0.4/RW^0.325,3))</f>
        <v>1.0169999999999999</v>
      </c>
      <c r="G59" s="252" t="str">
        <f ca="1">IF(OR(FLSCR="ERROR",FLSPI="ERROR"),"No",IF(TODAY()-'Look Ups'!$D$4*365&gt;I59,"WP Applied","Yes"))</f>
        <v>WP Applied</v>
      </c>
      <c r="H59" s="253" t="str">
        <f>IF(SPC="","",CONCATENATE("Main-Genoa",IF(FLSCR="valid",IF(OR(CR59="Yes",MSAUSC&gt;0),"-Screacher (Upwind)","-Screacher"),""),IF(FLSPI="valid","-Spinnaker",""),IF(RSAMZ&gt;0,"-Mizzen",""),IF(RSA2M&gt;0,"-Second Main",""),IF(AS&gt;0,"-Staysail",""),IF(AD&gt;0,"-Drifter","")))</f>
        <v>Main-Genoa-Screacher-Spinnaker</v>
      </c>
      <c r="I59" s="1">
        <v>39040</v>
      </c>
      <c r="J59" s="1">
        <v>43420</v>
      </c>
      <c r="K59" s="87" t="s">
        <v>240</v>
      </c>
      <c r="L59" s="87" t="s">
        <v>142</v>
      </c>
      <c r="M59" s="207"/>
      <c r="N59" s="88" t="s">
        <v>165</v>
      </c>
      <c r="O59" s="88"/>
      <c r="P59" s="100">
        <v>5.8</v>
      </c>
      <c r="Q59" s="90">
        <v>8.7899999999999991</v>
      </c>
      <c r="R59" s="87"/>
      <c r="S59" s="256">
        <f>IF((LOAA&gt;LOA),0.025*LOAA,0.025*LOA)</f>
        <v>0.21975</v>
      </c>
      <c r="T59" s="91">
        <v>0.21</v>
      </c>
      <c r="U59" s="91">
        <v>0</v>
      </c>
      <c r="V59" s="258">
        <f>IF((_xlfn.SINGLE(LOAA)&gt;_xlfn.SINGLE(LOA)),_xlfn.SINGLE(LOAA),_xlfn.SINGLE(LOA)-_xlfn.SINGLE(FOC)-_xlfn.SINGLE(AOC))</f>
        <v>8.5799999999999983</v>
      </c>
      <c r="W59" s="259">
        <f>IF(RL&gt;0,IF(RL&gt;'Look Ups'!Y$7,'Look Ups'!Y$8,('Look Ups'!Y$3*RL^3+'Look Ups'!Y$4*RL^2+'Look Ups'!Y$5*RL+'Look Ups'!Y$6)),0)</f>
        <v>0.29559078749599998</v>
      </c>
      <c r="X59" s="92">
        <v>1350</v>
      </c>
      <c r="Y59" s="262">
        <f ca="1">IF(WDATE&lt;(TODAY()-'Look Ups'!$D$4*365),-WM*'Look Ups'!$D$5/100,0)</f>
        <v>-202.5</v>
      </c>
      <c r="Z59" s="93"/>
      <c r="AA59" s="93"/>
      <c r="AB59" s="75"/>
      <c r="AC59" s="265">
        <f>WCD+NC*'Look Ups'!$AF$3</f>
        <v>0</v>
      </c>
      <c r="AD59" s="265">
        <f ca="1">IF(RL&lt;'Look Ups'!AM$3,'Look Ups'!AM$4,IF(RL&gt;'Look Ups'!AM$5,'Look Ups'!AM$6,(RL-'Look Ups'!AM$3)/('Look Ups'!AM$5-'Look Ups'!AM$3)*('Look Ups'!AM$6-'Look Ups'!AM$4)+'Look Ups'!AM$4))/100*WS</f>
        <v>265.8027272727274</v>
      </c>
      <c r="AE59" s="266">
        <f ca="1">WM+WP+WE</f>
        <v>1147.5</v>
      </c>
      <c r="AF59" s="267">
        <f ca="1">_xlfn.SINGLE(WS)+IF(_xlfn.SINGLE(TCW)&gt;=_xlfn.SINGLE(CWA),_xlfn.SINGLE(CWA),_xlfn.SINGLE(TCW))</f>
        <v>1147.5</v>
      </c>
      <c r="AG59" s="94" t="s">
        <v>145</v>
      </c>
      <c r="AH59" s="95" t="s">
        <v>146</v>
      </c>
      <c r="AI59" s="96" t="s">
        <v>147</v>
      </c>
      <c r="AJ59" s="218"/>
      <c r="AK59" s="273">
        <f>IF(C59="",0,VLOOKUP(AG59,'Look Ups'!$F$3:$G$6,2,0)*VLOOKUP(AH59,'Look Ups'!$I$3:$J$5,2,0)*VLOOKUP(AI59,'Look Ups'!$L$3:$M$7,2,0)*IF(AJ59="",1,VLOOKUP(AJ59,'Look Ups'!$O$3:$P$4,2,0)))</f>
        <v>1</v>
      </c>
      <c r="AL59" s="83">
        <v>12.55</v>
      </c>
      <c r="AM59" s="91">
        <v>12.17</v>
      </c>
      <c r="AN59" s="91">
        <v>3.8</v>
      </c>
      <c r="AO59" s="91">
        <v>1.4849999999999999</v>
      </c>
      <c r="AP59" s="91">
        <v>0.372</v>
      </c>
      <c r="AQ59" s="91">
        <v>12.38</v>
      </c>
      <c r="AR59" s="91">
        <v>0.17</v>
      </c>
      <c r="AS59" s="91">
        <v>3.87</v>
      </c>
      <c r="AT59" s="91">
        <v>0.05</v>
      </c>
      <c r="AU59" s="91">
        <v>0.35</v>
      </c>
      <c r="AV59" s="91" t="s">
        <v>148</v>
      </c>
      <c r="AW59" s="97">
        <v>0</v>
      </c>
      <c r="AX59" s="256">
        <f>P+ER</f>
        <v>12.430000000000001</v>
      </c>
      <c r="AY59" s="256">
        <f>P*0.375*MC</f>
        <v>1.6248749999999998</v>
      </c>
      <c r="AZ59" s="275">
        <f>IF(C59="",0,(0.5*(_ML1*LPM)+0.5*(_ML1*HB)+0.66*(P*PR)+0.66*(_ML2*RDM)+0.66*(E*ER))*VLOOKUP(BATT,'Look Ups'!$U$3:$V$4,2,0))</f>
        <v>37.668099400000003</v>
      </c>
      <c r="BA59" s="98"/>
      <c r="BB59" s="99"/>
      <c r="BC59" s="83">
        <v>11.05</v>
      </c>
      <c r="BD59" s="91">
        <v>2.6829999999999998</v>
      </c>
      <c r="BE59" s="91">
        <v>2.8</v>
      </c>
      <c r="BF59" s="91">
        <v>0.1</v>
      </c>
      <c r="BG59" s="91">
        <v>10.63</v>
      </c>
      <c r="BH59" s="91"/>
      <c r="BI59" s="91"/>
      <c r="BJ59" s="91">
        <v>-3.5000000000000003E-2</v>
      </c>
      <c r="BK59" s="91">
        <v>-8.7999999999999995E-2</v>
      </c>
      <c r="BL59" s="97">
        <v>0</v>
      </c>
      <c r="BM59" s="275">
        <f>(0.5*LL*LPG)+(0.5*_LG1*HG)+(0.66*LL*LLRG)+(0.66*FG*FRG)+(IF((HG&gt;0),(0.66*_LG2*LRG),(0.66*_LG1*LRG)))</f>
        <v>14.121038</v>
      </c>
      <c r="BN59" s="282"/>
      <c r="BO59" s="283"/>
      <c r="BP59" s="284"/>
      <c r="BQ59" s="284"/>
      <c r="BR59" s="283"/>
      <c r="BS59" s="284"/>
      <c r="BT59" s="284"/>
      <c r="BU59" s="280">
        <f>(0.5*LLS*LPS)+(0.66*LLS*LLRS)+(0.66*LS*LRS)+(0.66*FS*FRS)</f>
        <v>0</v>
      </c>
      <c r="BV59" s="285"/>
      <c r="BW59" s="283"/>
      <c r="BX59" s="283"/>
      <c r="BY59" s="283"/>
      <c r="BZ59" s="283"/>
      <c r="CA59" s="283"/>
      <c r="CB59" s="283"/>
      <c r="CC59" s="275">
        <f>(0.5*LLD*LPD)+(0.66*LLD*LLRD)+(0.66*LCHD*LRD)+(0.66*FD*FRD)</f>
        <v>0</v>
      </c>
      <c r="CD59" s="98">
        <v>8.8000000000000007</v>
      </c>
      <c r="CE59" s="91">
        <v>15.15</v>
      </c>
      <c r="CF59" s="91">
        <v>13.45</v>
      </c>
      <c r="CG59" s="91">
        <v>7.77</v>
      </c>
      <c r="CH59" s="266">
        <f>IF(SF&gt;0,SMG/SF*100,"")</f>
        <v>88.295454545454533</v>
      </c>
      <c r="CI59" s="283"/>
      <c r="CJ59" s="280">
        <f>SF*(_SL1+_SL2)/4+(SMG-SF/2)*(_SL1+_SL2)/3</f>
        <v>95.047333333333341</v>
      </c>
      <c r="CK59" s="83">
        <v>5.37</v>
      </c>
      <c r="CL59" s="91">
        <v>13.23</v>
      </c>
      <c r="CM59" s="91">
        <v>12.03</v>
      </c>
      <c r="CN59" s="91">
        <v>4</v>
      </c>
      <c r="CO59" s="256">
        <f>IF(SCRF&gt;0,SCRMG/SCRF*100,"")</f>
        <v>74.487895716945999</v>
      </c>
      <c r="CP59" s="283"/>
      <c r="CQ59" s="256">
        <f>SCRF*(SCRL1+SCRL2)/4+(SCRMG-SCRF/2)*(SCRL1+SCRL2)/3</f>
        <v>44.983849999999997</v>
      </c>
      <c r="CR59" s="256" t="str">
        <f>IF(CO59&lt;'Look Ups'!$AC$4,"Yes","No")</f>
        <v>No</v>
      </c>
      <c r="CS59" s="267">
        <f>IF(CR59="Yes",MIN(150,('Look Ups'!$AC$4-PSCR)/('Look Ups'!$AC$4-'Look Ups'!$AC$3)*100),0)</f>
        <v>0</v>
      </c>
      <c r="CT59" s="83"/>
      <c r="CU59" s="91"/>
      <c r="CV59" s="91"/>
      <c r="CW59" s="91"/>
      <c r="CX59" s="256" t="str">
        <f>IF(USCRF&gt;0,USCRMG/USCRF*100,"")</f>
        <v/>
      </c>
      <c r="CY59" s="293">
        <f>IF(PUSCR&lt;'Look Ups'!$AC$4,MIN(150,('Look Ups'!$AC$4-PUSCR)/('Look Ups'!$AC$4-'Look Ups'!$AC$3)*100),0)</f>
        <v>0</v>
      </c>
      <c r="CZ59" s="275">
        <f>IF(PUSCR&lt;'Look Ups'!$AC$4,USCRF*(USCRL1+USCRL2)/4+(USCRMG-USCRF/2)*(USCRL1+USCRL2)/3,0)</f>
        <v>0</v>
      </c>
      <c r="DA59" s="294">
        <f>IF(ZVAL=1,1,IF(LPM&gt;0,0.64*((AM+MAM)/(E+(MC/2))^2)^0.3,0))</f>
        <v>1</v>
      </c>
      <c r="DB59" s="256">
        <f>0.65*((AM+MAM)*EFM)+0.35*((AM+MAM)*ZVAL)</f>
        <v>39.292974400000006</v>
      </c>
      <c r="DC59" s="256">
        <f>IF(ZVAL=1,1,IF(LPG&gt;0,0.72*(AG/(LPG^2))^0.3,0))</f>
        <v>1</v>
      </c>
      <c r="DD59" s="256">
        <f>AG*EFG</f>
        <v>14.121038</v>
      </c>
      <c r="DE59" s="256">
        <f>IF(AZ59&gt;0,'Look Ups'!$S$3,0)</f>
        <v>1</v>
      </c>
      <c r="DF59" s="256">
        <f>IF(LPS&gt;0,0.72*(AS/(LPS^2))^0.3,0)</f>
        <v>0</v>
      </c>
      <c r="DG59" s="256">
        <f>EFS*AS</f>
        <v>0</v>
      </c>
      <c r="DH59" s="256">
        <f>IF(LPD&gt;0,0.72*(AD/(LPD^2))^0.3,0)</f>
        <v>0</v>
      </c>
      <c r="DI59" s="280">
        <f>IF((AD-AG)&gt;0,0.3*(AD-AG)*EFD,0)</f>
        <v>0</v>
      </c>
      <c r="DJ59" s="295" t="str">
        <f>IF((SCRF=0),"-",IF(AND(MSASC&gt;AG,SCRMG&lt;(0.75*SCRF)),"valid","ERROR"))</f>
        <v>valid</v>
      </c>
      <c r="DK59" s="266" t="str">
        <f>IF((SF=0),"-",IF((SMG&lt;(0.75*SF)),"ERROR",IF(AND(MSASP&gt;MSASC,MSASP&gt;AG,MSASP&gt;=0.36*RSAM),"valid","Small")))</f>
        <v>valid</v>
      </c>
      <c r="DL59" s="267" t="str">
        <f>IF(C59="","",CONCATENATE("MG",IF(FLSCR="valid","Scr",""),IF(FLSPI="valid","SP","")))</f>
        <v>MGScrSP</v>
      </c>
      <c r="DM59" s="294">
        <f>RSAM+RSAG</f>
        <v>53.414012400000004</v>
      </c>
      <c r="DN59" s="256">
        <f>IF(MSASP&gt;0,'Look Ups'!$AI$4*(ZVAL*MSASP-RSAG),0)</f>
        <v>24.277888600000001</v>
      </c>
      <c r="DO59" s="256">
        <f>IF(AND(MSASC&gt;0,(MSASC&gt;=0.36*RSAM)),('Look Ups'!$AI$3*(ZVAL*MSASC-RSAG)),(0))</f>
        <v>10.801984199999998</v>
      </c>
      <c r="DP59" s="256">
        <f>IF(MSASP&gt;0,'Look Ups'!$AI$5*(ZVAL*MSASP-RSAG),0)</f>
        <v>22.659362693333339</v>
      </c>
      <c r="DQ59" s="256">
        <f>IF(MSASC&gt;0,'Look Ups'!$AI$6*(MSASC-RSAG),0)</f>
        <v>2.1603968400000002</v>
      </c>
      <c r="DR59" s="280">
        <f>'Look Ups'!$AI$7*MAX(IF(MSAUSC&gt;0,EUSC/100*(MSAUSC-RSAG),0),IF(CR59="Yes",ELSC/100*(MSASC-RSAG),0))</f>
        <v>0</v>
      </c>
      <c r="DS59" s="280">
        <f>0.36*RSAM</f>
        <v>14.145470784000002</v>
      </c>
      <c r="DT59" s="296">
        <f>_xlfn.IFS(SPC="MG",RAMG+DS59,SPC="MGScr",RAMG+RASCO,SPC="MGSp",RAMG+RASPO,SPC="MGScrSp",RAMG+RASPSC+RASCR)+RAUSC+RSAST+RSAD+RSAMZ+RSA2M</f>
        <v>78.233771933333344</v>
      </c>
      <c r="DU59" s="107"/>
    </row>
    <row r="60" spans="1:125" ht="15.6" customHeight="1" x14ac:dyDescent="0.3">
      <c r="A60" s="4"/>
      <c r="B60" s="64"/>
      <c r="C60" s="64" t="s">
        <v>305</v>
      </c>
      <c r="D60" s="85" t="s">
        <v>306</v>
      </c>
      <c r="E60" s="86" t="s">
        <v>307</v>
      </c>
      <c r="F60" s="252">
        <f ca="1">IF(RW=0,0,ROUND(DLF*0.93*RL^LF*RSA^0.4/RW^0.325,3))</f>
        <v>1.252</v>
      </c>
      <c r="G60" s="252" t="str">
        <f ca="1">IF(OR(FLSCR="ERROR",FLSPI="ERROR"),"No",IF(TODAY()-'Look Ups'!$D$4*365&gt;I60,"WP Applied","Yes"))</f>
        <v>Yes</v>
      </c>
      <c r="H60" s="253" t="str">
        <f>IF(SPC="","",CONCATENATE("Main-Genoa",IF(FLSCR="valid",IF(OR(CR60="Yes",MSAUSC&gt;0),"-Screacher (Upwind)","-Screacher"),""),IF(FLSPI="valid","-Spinnaker",""),IF(RSAMZ&gt;0,"-Mizzen",""),IF(RSA2M&gt;0,"-Second Main",""),IF(AS&gt;0,"-Staysail",""),IF(AD&gt;0,"-Drifter","")))</f>
        <v>Main-Genoa-Screacher (Upwind)</v>
      </c>
      <c r="I60" s="1">
        <v>42590</v>
      </c>
      <c r="J60" s="1" t="s">
        <v>308</v>
      </c>
      <c r="K60" s="87" t="s">
        <v>236</v>
      </c>
      <c r="L60" s="87" t="s">
        <v>159</v>
      </c>
      <c r="M60" s="207"/>
      <c r="N60" s="88" t="s">
        <v>165</v>
      </c>
      <c r="O60" s="88"/>
      <c r="P60" s="100"/>
      <c r="Q60" s="90">
        <v>10</v>
      </c>
      <c r="R60" s="87"/>
      <c r="S60" s="256">
        <f>IF((LOAA&gt;LOA),0.025*LOAA,0.025*LOA)</f>
        <v>0.25</v>
      </c>
      <c r="T60" s="91"/>
      <c r="U60" s="91"/>
      <c r="V60" s="258">
        <f>IF((_xlfn.SINGLE(LOAA)&gt;_xlfn.SINGLE(LOA)),_xlfn.SINGLE(LOAA),_xlfn.SINGLE(LOA)-_xlfn.SINGLE(FOC)-_xlfn.SINGLE(AOC))</f>
        <v>10</v>
      </c>
      <c r="W60" s="259">
        <f>IF(RL&gt;0,IF(RL&gt;'Look Ups'!Y$7,'Look Ups'!Y$8,('Look Ups'!Y$3*RL^3+'Look Ups'!Y$4*RL^2+'Look Ups'!Y$5*RL+'Look Ups'!Y$6)),0)</f>
        <v>0.29850000000000004</v>
      </c>
      <c r="X60" s="92">
        <v>1090</v>
      </c>
      <c r="Y60" s="262">
        <f ca="1">IF(WDATE&lt;(TODAY()-'Look Ups'!$D$4*365),-WM*'Look Ups'!$D$5/100,0)</f>
        <v>0</v>
      </c>
      <c r="Z60" s="93"/>
      <c r="AA60" s="93"/>
      <c r="AB60" s="75"/>
      <c r="AC60" s="265">
        <f>WCD+NC*'Look Ups'!$AF$3</f>
        <v>0</v>
      </c>
      <c r="AD60" s="265">
        <f ca="1">IF(RL&lt;'Look Ups'!AM$3,'Look Ups'!AM$4,IF(RL&gt;'Look Ups'!AM$5,'Look Ups'!AM$6,(RL-'Look Ups'!AM$3)/('Look Ups'!AM$5-'Look Ups'!AM$3)*('Look Ups'!AM$6-'Look Ups'!AM$4)+'Look Ups'!AM$4))/100*WS</f>
        <v>196.2</v>
      </c>
      <c r="AE60" s="266">
        <f ca="1">WM+WP+WE</f>
        <v>1090</v>
      </c>
      <c r="AF60" s="267">
        <f ca="1">_xlfn.SINGLE(WS)+IF(_xlfn.SINGLE(TCW)&gt;=_xlfn.SINGLE(CWA),_xlfn.SINGLE(CWA),_xlfn.SINGLE(TCW))</f>
        <v>1090</v>
      </c>
      <c r="AG60" s="94" t="s">
        <v>145</v>
      </c>
      <c r="AH60" s="95" t="s">
        <v>309</v>
      </c>
      <c r="AI60" s="96" t="s">
        <v>147</v>
      </c>
      <c r="AJ60" s="218"/>
      <c r="AK60" s="273">
        <f>IF(C60="",0,VLOOKUP(AG60,'Look Ups'!$F$3:$G$6,2,0)*VLOOKUP(AH60,'Look Ups'!$I$3:$J$5,2,0)*VLOOKUP(AI60,'Look Ups'!$L$3:$M$7,2,0)*IF(AJ60="",1,VLOOKUP(AJ60,'Look Ups'!$O$3:$P$4,2,0)))</f>
        <v>1</v>
      </c>
      <c r="AL60" s="83">
        <v>15.95</v>
      </c>
      <c r="AM60" s="91">
        <v>15.65</v>
      </c>
      <c r="AN60" s="91">
        <v>4.29</v>
      </c>
      <c r="AO60" s="91">
        <v>1.88</v>
      </c>
      <c r="AP60" s="91">
        <v>0.30000000000000004</v>
      </c>
      <c r="AQ60" s="91">
        <v>15.7</v>
      </c>
      <c r="AR60" s="91">
        <v>0.18</v>
      </c>
      <c r="AS60" s="91">
        <v>4.3499999999999996</v>
      </c>
      <c r="AT60" s="91">
        <v>0.01</v>
      </c>
      <c r="AU60" s="91">
        <v>0.75</v>
      </c>
      <c r="AV60" s="91" t="s">
        <v>148</v>
      </c>
      <c r="AW60" s="97"/>
      <c r="AX60" s="256">
        <f>P+ER</f>
        <v>15.709999999999999</v>
      </c>
      <c r="AY60" s="256">
        <f>P*0.375*MC</f>
        <v>4.4156249999999995</v>
      </c>
      <c r="AZ60" s="275">
        <f>IF(C60="",0,(0.5*(_ML1*LPM)+0.5*(_ML1*HB)+0.66*(P*PR)+0.66*(_ML2*RDM)+0.66*(E*ER))*VLOOKUP(BATT,'Look Ups'!$U$3:$V$4,2,0))</f>
        <v>54.198319999999995</v>
      </c>
      <c r="BA60" s="98"/>
      <c r="BB60" s="99"/>
      <c r="BC60" s="83">
        <v>13.02</v>
      </c>
      <c r="BD60" s="91">
        <v>3.165</v>
      </c>
      <c r="BE60" s="91">
        <v>3.35</v>
      </c>
      <c r="BF60" s="91">
        <v>0.1</v>
      </c>
      <c r="BG60" s="91">
        <v>12.43</v>
      </c>
      <c r="BH60" s="91">
        <v>12.43</v>
      </c>
      <c r="BI60" s="91">
        <v>0.35</v>
      </c>
      <c r="BJ60" s="91">
        <v>0</v>
      </c>
      <c r="BK60" s="91">
        <v>0.06</v>
      </c>
      <c r="BL60" s="97"/>
      <c r="BM60" s="275">
        <f>(0.5*LL*LPG)+(0.5*_LG1*HG)+(0.66*LL*LLRG)+(0.66*FG*FRG)+(IF((HG&gt;0),(0.66*_LG2*LRG),(0.66*_LG1*LRG)))</f>
        <v>23.516092</v>
      </c>
      <c r="BN60" s="282"/>
      <c r="BO60" s="283"/>
      <c r="BP60" s="284"/>
      <c r="BQ60" s="284"/>
      <c r="BR60" s="283"/>
      <c r="BS60" s="284"/>
      <c r="BT60" s="284"/>
      <c r="BU60" s="280">
        <f>(0.5*LLS*LPS)+(0.66*LLS*LLRS)+(0.66*LS*LRS)+(0.66*FS*FRS)</f>
        <v>0</v>
      </c>
      <c r="BV60" s="285"/>
      <c r="BW60" s="283"/>
      <c r="BX60" s="283"/>
      <c r="BY60" s="283"/>
      <c r="BZ60" s="283"/>
      <c r="CA60" s="283"/>
      <c r="CB60" s="283"/>
      <c r="CC60" s="275">
        <f>(0.5*LLD*LPD)+(0.66*LLD*LLRD)+(0.66*LCHD*LRD)+(0.66*FD*FRD)</f>
        <v>0</v>
      </c>
      <c r="CD60" s="98"/>
      <c r="CE60" s="91"/>
      <c r="CF60" s="91"/>
      <c r="CG60" s="91"/>
      <c r="CH60" s="266" t="str">
        <f>IF(SF&gt;0,SMG/SF*100,"")</f>
        <v/>
      </c>
      <c r="CI60" s="283"/>
      <c r="CJ60" s="280">
        <f>SF*(_SL1+_SL2)/4+(SMG-SF/2)*(_SL1+_SL2)/3</f>
        <v>0</v>
      </c>
      <c r="CK60" s="83">
        <v>10.6</v>
      </c>
      <c r="CL60" s="91">
        <v>17.63</v>
      </c>
      <c r="CM60" s="91">
        <v>15.75</v>
      </c>
      <c r="CN60" s="91">
        <v>5.32</v>
      </c>
      <c r="CO60" s="256">
        <f>IF(SCRF&gt;0,SCRMG/SCRF*100,"")</f>
        <v>50.188679245283019</v>
      </c>
      <c r="CP60" s="283"/>
      <c r="CQ60" s="256">
        <f>SCRF*(SCRL1+SCRL2)/4+(SCRMG-SCRF/2)*(SCRL1+SCRL2)/3</f>
        <v>88.679533333333325</v>
      </c>
      <c r="CR60" s="256" t="str">
        <f>IF(CO60&lt;'Look Ups'!$AC$4,"Yes","No")</f>
        <v>Yes</v>
      </c>
      <c r="CS60" s="267">
        <f>IF(CR60="Yes",MIN(150,('Look Ups'!$AC$4-PSCR)/('Look Ups'!$AC$4-'Look Ups'!$AC$3)*100),0)</f>
        <v>36.226415094339615</v>
      </c>
      <c r="CT60" s="83"/>
      <c r="CU60" s="91"/>
      <c r="CV60" s="91"/>
      <c r="CW60" s="91"/>
      <c r="CX60" s="256" t="str">
        <f>IF(USCRF&gt;0,USCRMG/USCRF*100,"")</f>
        <v/>
      </c>
      <c r="CY60" s="293">
        <f>IF(PUSCR&lt;'Look Ups'!$AC$4,MIN(150,('Look Ups'!$AC$4-PUSCR)/('Look Ups'!$AC$4-'Look Ups'!$AC$3)*100),0)</f>
        <v>0</v>
      </c>
      <c r="CZ60" s="275">
        <f>IF(PUSCR&lt;'Look Ups'!$AC$4,USCRF*(USCRL1+USCRL2)/4+(USCRMG-USCRF/2)*(USCRL1+USCRL2)/3,0)</f>
        <v>0</v>
      </c>
      <c r="DA60" s="294">
        <f>IF(ZVAL=1,1,IF(LPM&gt;0,0.64*((AM+MAM)/(E+(MC/2))^2)^0.3,0))</f>
        <v>1</v>
      </c>
      <c r="DB60" s="256">
        <f>0.65*((AM+MAM)*EFM)+0.35*((AM+MAM)*ZVAL)</f>
        <v>58.613944999999994</v>
      </c>
      <c r="DC60" s="256">
        <f>IF(ZVAL=1,1,IF(LPG&gt;0,0.72*(AG/(LPG^2))^0.3,0))</f>
        <v>1</v>
      </c>
      <c r="DD60" s="256">
        <f>AG*EFG</f>
        <v>23.516092</v>
      </c>
      <c r="DE60" s="256">
        <f>IF(AZ60&gt;0,'Look Ups'!$S$3,0)</f>
        <v>1</v>
      </c>
      <c r="DF60" s="256">
        <f>IF(LPS&gt;0,0.72*(AS/(LPS^2))^0.3,0)</f>
        <v>0</v>
      </c>
      <c r="DG60" s="256">
        <f>EFS*AS</f>
        <v>0</v>
      </c>
      <c r="DH60" s="256">
        <f>IF(LPD&gt;0,0.72*(AD/(LPD^2))^0.3,0)</f>
        <v>0</v>
      </c>
      <c r="DI60" s="280">
        <f>IF((AD-AG)&gt;0,0.3*(AD-AG)*EFD,0)</f>
        <v>0</v>
      </c>
      <c r="DJ60" s="295" t="str">
        <f>IF((SCRF=0),"-",IF(AND(MSASC&gt;AG,SCRMG&lt;(0.75*SCRF)),"valid","ERROR"))</f>
        <v>valid</v>
      </c>
      <c r="DK60" s="266" t="str">
        <f>IF((SF=0),"-",IF((SMG&lt;(0.75*SF)),"ERROR",IF(AND(MSASP&gt;MSASC,MSASP&gt;AG,MSASP&gt;=0.36*RSAM),"valid","Small")))</f>
        <v>-</v>
      </c>
      <c r="DL60" s="267" t="str">
        <f>IF(C60="","",CONCATENATE("MG",IF(FLSCR="valid","Scr",""),IF(FLSPI="valid","SP","")))</f>
        <v>MGScr</v>
      </c>
      <c r="DM60" s="294">
        <f>RSAM+RSAG</f>
        <v>82.130036999999987</v>
      </c>
      <c r="DN60" s="256">
        <f>IF(MSASP&gt;0,'Look Ups'!$AI$4*(ZVAL*MSASP-RSAG),0)</f>
        <v>0</v>
      </c>
      <c r="DO60" s="256">
        <f>IF(AND(MSASC&gt;0,(MSASC&gt;=0.36*RSAM)),('Look Ups'!$AI$3*(ZVAL*MSASC-RSAG)),(0))</f>
        <v>22.807204466666661</v>
      </c>
      <c r="DP60" s="256">
        <f>IF(MSASP&gt;0,'Look Ups'!$AI$5*(ZVAL*MSASP-RSAG),0)</f>
        <v>0</v>
      </c>
      <c r="DQ60" s="256">
        <f>IF(MSASC&gt;0,'Look Ups'!$AI$6*(MSASC-RSAG),0)</f>
        <v>4.5614408933333328</v>
      </c>
      <c r="DR60" s="280">
        <f>'Look Ups'!$AI$7*MAX(IF(MSAUSC&gt;0,EUSC/100*(MSAUSC-RSAG),0),IF(CR60="Yes",ELSC/100*(MSASC-RSAG),0))</f>
        <v>5.9015946867924507</v>
      </c>
      <c r="DS60" s="280">
        <f>0.36*RSAM</f>
        <v>21.101020199999997</v>
      </c>
      <c r="DT60" s="296">
        <f>_xlfn.IFS(SPC="MG",RAMG+DS60,SPC="MGScr",RAMG+RASCO,SPC="MGSp",RAMG+RASPO,SPC="MGScrSp",RAMG+RASPSC+RASCR)+RAUSC+RSAST+RSAD+RSAMZ+RSA2M</f>
        <v>110.8388361534591</v>
      </c>
      <c r="DU60" s="107"/>
    </row>
    <row r="61" spans="1:125" ht="15.6" customHeight="1" x14ac:dyDescent="0.3">
      <c r="A61" s="4"/>
      <c r="B61" s="64"/>
      <c r="C61" s="64" t="s">
        <v>1195</v>
      </c>
      <c r="D61" s="85" t="s">
        <v>151</v>
      </c>
      <c r="E61" s="86" t="s">
        <v>1196</v>
      </c>
      <c r="F61" s="252">
        <f ca="1">IF(RW=0,0,ROUND(DLF*0.93*RL^LF*RSA^0.4/RW^0.325,3))</f>
        <v>0.80900000000000005</v>
      </c>
      <c r="G61" s="252" t="str">
        <f ca="1">IF(OR(FLSCR="ERROR",FLSPI="ERROR"),"No",IF(TODAY()-'Look Ups'!$D$4*365&gt;I61,"WP Applied","Yes"))</f>
        <v>Yes</v>
      </c>
      <c r="H61" s="253" t="str">
        <f>IF(SPC="","",CONCATENATE("Main-Genoa",IF(FLSCR="valid",IF(OR(CR61="Yes",MSAUSC&gt;0),"-Screacher (Upwind)","-Screacher"),""),IF(FLSPI="valid","-Spinnaker",""),IF(RSAMZ&gt;0,"-Mizzen",""),IF(RSA2M&gt;0,"-Second Main",""),IF(AS&gt;0,"-Staysail",""),IF(AD&gt;0,"-Drifter","")))</f>
        <v>Main-Genoa-Screacher (Upwind)-Spinnaker</v>
      </c>
      <c r="I61" s="1">
        <v>45505</v>
      </c>
      <c r="J61" s="1">
        <v>45512</v>
      </c>
      <c r="K61" s="87" t="s">
        <v>163</v>
      </c>
      <c r="L61" s="87" t="s">
        <v>245</v>
      </c>
      <c r="M61" s="207"/>
      <c r="N61" s="88" t="s">
        <v>143</v>
      </c>
      <c r="O61" s="88"/>
      <c r="P61" s="100"/>
      <c r="Q61" s="90">
        <v>8.1999999999999993</v>
      </c>
      <c r="R61" s="87"/>
      <c r="S61" s="256">
        <f>IF((LOAA&gt;LOA),0.025*LOAA,0.025*LOA)</f>
        <v>0.20499999999999999</v>
      </c>
      <c r="T61" s="91"/>
      <c r="U61" s="91"/>
      <c r="V61" s="258">
        <f>IF((_xlfn.SINGLE(LOAA)&gt;_xlfn.SINGLE(LOA)),_xlfn.SINGLE(LOAA),_xlfn.SINGLE(LOA)-_xlfn.SINGLE(FOC)-_xlfn.SINGLE(AOC))</f>
        <v>8.1999999999999993</v>
      </c>
      <c r="W61" s="259">
        <f>IF(RL&gt;0,IF(RL&gt;'Look Ups'!Y$7,'Look Ups'!Y$8,('Look Ups'!Y$3*RL^3+'Look Ups'!Y$4*RL^2+'Look Ups'!Y$5*RL+'Look Ups'!Y$6)),0)</f>
        <v>0.29445914400000001</v>
      </c>
      <c r="X61" s="92">
        <v>1445</v>
      </c>
      <c r="Y61" s="262">
        <f ca="1">IF(WDATE&lt;(TODAY()-'Look Ups'!$D$4*365),-WM*'Look Ups'!$D$5/100,0)</f>
        <v>0</v>
      </c>
      <c r="Z61" s="93"/>
      <c r="AA61" s="93"/>
      <c r="AB61" s="75"/>
      <c r="AC61" s="265">
        <f>WCD+NC*'Look Ups'!$AF$3</f>
        <v>0</v>
      </c>
      <c r="AD61" s="265">
        <f ca="1">IF(RL&lt;'Look Ups'!AM$3,'Look Ups'!AM$4,IF(RL&gt;'Look Ups'!AM$5,'Look Ups'!AM$6,(RL-'Look Ups'!AM$3)/('Look Ups'!AM$5-'Look Ups'!AM$3)*('Look Ups'!AM$6-'Look Ups'!AM$4)+'Look Ups'!AM$4))/100*WS</f>
        <v>354.68181818181824</v>
      </c>
      <c r="AE61" s="266">
        <f ca="1">WM+WP+WE</f>
        <v>1445</v>
      </c>
      <c r="AF61" s="267">
        <f ca="1">_xlfn.SINGLE(WS)+IF(_xlfn.SINGLE(TCW)&gt;=_xlfn.SINGLE(CWA),_xlfn.SINGLE(CWA),_xlfn.SINGLE(TCW))</f>
        <v>1445</v>
      </c>
      <c r="AG61" s="94" t="s">
        <v>145</v>
      </c>
      <c r="AH61" s="95" t="s">
        <v>146</v>
      </c>
      <c r="AI61" s="96" t="s">
        <v>147</v>
      </c>
      <c r="AJ61" s="218"/>
      <c r="AK61" s="273">
        <f>IF(C61="",0,VLOOKUP(AG61,'Look Ups'!$F$3:$G$6,2,0)*VLOOKUP(AH61,'Look Ups'!$I$3:$J$5,2,0)*VLOOKUP(AI61,'Look Ups'!$L$3:$M$7,2,0)*IF(AJ61="",1,VLOOKUP(AJ61,'Look Ups'!$O$3:$P$4,2,0)))</f>
        <v>1</v>
      </c>
      <c r="AL61" s="83">
        <v>10.6</v>
      </c>
      <c r="AM61" s="91">
        <v>10.43</v>
      </c>
      <c r="AN61" s="91">
        <v>3.18</v>
      </c>
      <c r="AO61" s="91">
        <v>0.87</v>
      </c>
      <c r="AP61" s="91">
        <v>0.62</v>
      </c>
      <c r="AQ61" s="91">
        <v>10.31</v>
      </c>
      <c r="AR61" s="91">
        <v>0.09</v>
      </c>
      <c r="AS61" s="91">
        <v>3.3</v>
      </c>
      <c r="AT61" s="91">
        <v>0.01</v>
      </c>
      <c r="AU61" s="91">
        <v>0.46</v>
      </c>
      <c r="AV61" s="91" t="s">
        <v>148</v>
      </c>
      <c r="AW61" s="97"/>
      <c r="AX61" s="256">
        <f>P+ER</f>
        <v>10.32</v>
      </c>
      <c r="AY61" s="256">
        <f>P*0.375*MC</f>
        <v>1.778475</v>
      </c>
      <c r="AZ61" s="275">
        <f>IF(C61="",0,(0.5*(_ML1*LPM)+0.5*(_ML1*HB)+0.66*(P*PR)+0.66*(_ML2*RDM)+0.66*(E*ER))*VLOOKUP(BATT,'Look Ups'!$U$3:$V$4,2,0))</f>
        <v>26.367150000000002</v>
      </c>
      <c r="BA61" s="98"/>
      <c r="BB61" s="99"/>
      <c r="BC61" s="83">
        <v>8.77</v>
      </c>
      <c r="BD61" s="91">
        <v>2.65</v>
      </c>
      <c r="BE61" s="91">
        <v>3</v>
      </c>
      <c r="BF61" s="91">
        <v>0.04</v>
      </c>
      <c r="BG61" s="91">
        <v>7.81</v>
      </c>
      <c r="BH61" s="91">
        <v>0</v>
      </c>
      <c r="BI61" s="91">
        <v>0</v>
      </c>
      <c r="BJ61" s="91">
        <v>0.01</v>
      </c>
      <c r="BK61" s="91">
        <v>0</v>
      </c>
      <c r="BL61" s="97"/>
      <c r="BM61" s="275">
        <f>(0.5*LL*LPG)+(0.5*_LG1*HG)+(0.66*LL*LLRG)+(0.66*FG*FRG)+(IF((HG&gt;0),(0.66*_LG2*LRG),(0.66*_LG1*LRG)))</f>
        <v>11.750995999999999</v>
      </c>
      <c r="BN61" s="282"/>
      <c r="BO61" s="283"/>
      <c r="BP61" s="284"/>
      <c r="BQ61" s="284"/>
      <c r="BR61" s="283"/>
      <c r="BS61" s="284"/>
      <c r="BT61" s="284"/>
      <c r="BU61" s="280">
        <f>(0.5*LLS*LPS)+(0.66*LLS*LLRS)+(0.66*LS*LRS)+(0.66*FS*FRS)</f>
        <v>0</v>
      </c>
      <c r="BV61" s="285"/>
      <c r="BW61" s="283"/>
      <c r="BX61" s="283"/>
      <c r="BY61" s="283"/>
      <c r="BZ61" s="283"/>
      <c r="CA61" s="283"/>
      <c r="CB61" s="283"/>
      <c r="CC61" s="275">
        <f>(0.5*LLD*LPD)+(0.66*LLD*LLRD)+(0.66*LCHD*LRD)+(0.66*FD*FRD)</f>
        <v>0</v>
      </c>
      <c r="CD61" s="98">
        <v>7.78</v>
      </c>
      <c r="CE61" s="91">
        <v>11.65</v>
      </c>
      <c r="CF61" s="91">
        <v>10.27</v>
      </c>
      <c r="CG61" s="91">
        <v>6.2</v>
      </c>
      <c r="CH61" s="266">
        <f>IF(SF&gt;0,SMG/SF*100,"")</f>
        <v>79.691516709511561</v>
      </c>
      <c r="CI61" s="283"/>
      <c r="CJ61" s="280">
        <f>SF*(_SL1+_SL2)/4+(SMG-SF/2)*(_SL1+_SL2)/3</f>
        <v>59.512800000000013</v>
      </c>
      <c r="CK61" s="83">
        <v>6.74</v>
      </c>
      <c r="CL61" s="91">
        <v>9.61</v>
      </c>
      <c r="CM61" s="91">
        <v>8.08</v>
      </c>
      <c r="CN61" s="91">
        <v>3.44</v>
      </c>
      <c r="CO61" s="256">
        <f>IF(SCRF&gt;0,SCRMG/SCRF*100,"")</f>
        <v>51.038575667655785</v>
      </c>
      <c r="CP61" s="283"/>
      <c r="CQ61" s="256">
        <f>SCRF*(SCRL1+SCRL2)/4+(SCRMG-SCRF/2)*(SCRL1+SCRL2)/3</f>
        <v>30.220416666666665</v>
      </c>
      <c r="CR61" s="256" t="str">
        <f>IF(CO61&lt;'Look Ups'!$AC$4,"Yes","No")</f>
        <v>Yes</v>
      </c>
      <c r="CS61" s="267">
        <f>IF(CR61="Yes",MIN(150,('Look Ups'!$AC$4-PSCR)/('Look Ups'!$AC$4-'Look Ups'!$AC$3)*100),0)</f>
        <v>19.228486646884306</v>
      </c>
      <c r="CT61" s="83"/>
      <c r="CU61" s="91"/>
      <c r="CV61" s="91"/>
      <c r="CW61" s="91"/>
      <c r="CX61" s="256" t="str">
        <f>IF(USCRF&gt;0,USCRMG/USCRF*100,"")</f>
        <v/>
      </c>
      <c r="CY61" s="293">
        <f>IF(PUSCR&lt;'Look Ups'!$AC$4,MIN(150,('Look Ups'!$AC$4-PUSCR)/('Look Ups'!$AC$4-'Look Ups'!$AC$3)*100),0)</f>
        <v>0</v>
      </c>
      <c r="CZ61" s="275">
        <f>IF(PUSCR&lt;'Look Ups'!$AC$4,USCRF*(USCRL1+USCRL2)/4+(USCRMG-USCRF/2)*(USCRL1+USCRL2)/3,0)</f>
        <v>0</v>
      </c>
      <c r="DA61" s="294">
        <f>IF(ZVAL=1,1,IF(LPM&gt;0,0.64*((AM+MAM)/(E+(MC/2))^2)^0.3,0))</f>
        <v>1</v>
      </c>
      <c r="DB61" s="256">
        <f>0.65*((AM+MAM)*EFM)+0.35*((AM+MAM)*ZVAL)</f>
        <v>28.145625000000003</v>
      </c>
      <c r="DC61" s="256">
        <f>IF(ZVAL=1,1,IF(LPG&gt;0,0.72*(AG/(LPG^2))^0.3,0))</f>
        <v>1</v>
      </c>
      <c r="DD61" s="256">
        <f>AG*EFG</f>
        <v>11.750995999999999</v>
      </c>
      <c r="DE61" s="256">
        <f>IF(AZ61&gt;0,'Look Ups'!$S$3,0)</f>
        <v>1</v>
      </c>
      <c r="DF61" s="256">
        <f>IF(LPS&gt;0,0.72*(AS/(LPS^2))^0.3,0)</f>
        <v>0</v>
      </c>
      <c r="DG61" s="256">
        <f>EFS*AS</f>
        <v>0</v>
      </c>
      <c r="DH61" s="256">
        <f>IF(LPD&gt;0,0.72*(AD/(LPD^2))^0.3,0)</f>
        <v>0</v>
      </c>
      <c r="DI61" s="280">
        <f>IF((AD-AG)&gt;0,0.3*(AD-AG)*EFD,0)</f>
        <v>0</v>
      </c>
      <c r="DJ61" s="295" t="str">
        <f>IF((SCRF=0),"-",IF(AND(MSASC&gt;AG,SCRMG&lt;(0.75*SCRF)),"valid","ERROR"))</f>
        <v>valid</v>
      </c>
      <c r="DK61" s="266" t="str">
        <f>IF((SF=0),"-",IF((SMG&lt;(0.75*SF)),"ERROR",IF(AND(MSASP&gt;MSASC,MSASP&gt;AG,MSASP&gt;=0.36*RSAM),"valid","Small")))</f>
        <v>valid</v>
      </c>
      <c r="DL61" s="267" t="str">
        <f>IF(C61="","",CONCATENATE("MG",IF(FLSCR="valid","Scr",""),IF(FLSPI="valid","SP","")))</f>
        <v>MGScrSP</v>
      </c>
      <c r="DM61" s="294">
        <f>RSAM+RSAG</f>
        <v>39.896621000000003</v>
      </c>
      <c r="DN61" s="256">
        <f>IF(MSASP&gt;0,'Look Ups'!$AI$4*(ZVAL*MSASP-RSAG),0)</f>
        <v>14.328541200000004</v>
      </c>
      <c r="DO61" s="256">
        <f>IF(AND(MSASC&gt;0,(MSASC&gt;=0.36*RSAM)),('Look Ups'!$AI$3*(ZVAL*MSASC-RSAG)),(0))</f>
        <v>6.4642972333333324</v>
      </c>
      <c r="DP61" s="256">
        <f>IF(MSASP&gt;0,'Look Ups'!$AI$5*(ZVAL*MSASP-RSAG),0)</f>
        <v>13.373305120000005</v>
      </c>
      <c r="DQ61" s="256">
        <f>IF(MSASC&gt;0,'Look Ups'!$AI$6*(MSASC-RSAG),0)</f>
        <v>1.2928594466666667</v>
      </c>
      <c r="DR61" s="280">
        <f>'Look Ups'!$AI$7*MAX(IF(MSAUSC&gt;0,EUSC/100*(MSAUSC-RSAG),0),IF(CR61="Yes",ELSC/100*(MSASC-RSAG),0))</f>
        <v>0.88784752166172254</v>
      </c>
      <c r="DS61" s="280">
        <f>0.36*RSAM</f>
        <v>10.132425000000001</v>
      </c>
      <c r="DT61" s="296">
        <f>_xlfn.IFS(SPC="MG",RAMG+DS61,SPC="MGScr",RAMG+RASCO,SPC="MGSp",RAMG+RASPO,SPC="MGScrSp",RAMG+RASPSC+RASCR)+RAUSC+RSAST+RSAD+RSAMZ+RSA2M</f>
        <v>55.450633088328402</v>
      </c>
      <c r="DU61" s="107"/>
    </row>
    <row r="62" spans="1:125" ht="15.6" customHeight="1" x14ac:dyDescent="0.3">
      <c r="A62" s="4"/>
      <c r="B62" s="64"/>
      <c r="C62" s="64" t="s">
        <v>310</v>
      </c>
      <c r="D62" s="85" t="s">
        <v>311</v>
      </c>
      <c r="E62" s="86" t="s">
        <v>312</v>
      </c>
      <c r="F62" s="252">
        <f ca="1">IF(RW=0,0,ROUND(DLF*0.93*RL^LF*RSA^0.4/RW^0.325,3))</f>
        <v>0.91900000000000004</v>
      </c>
      <c r="G62" s="252" t="str">
        <f ca="1">IF(OR(FLSCR="ERROR",FLSPI="ERROR"),"No",IF(TODAY()-'Look Ups'!$D$4*365&gt;I62,"WP Applied","Yes"))</f>
        <v>WP Applied</v>
      </c>
      <c r="H62" s="253" t="str">
        <f>IF(SPC="","",CONCATENATE("Main-Genoa",IF(FLSCR="valid",IF(OR(CR62="Yes",MSAUSC&gt;0),"-Screacher (Upwind)","-Screacher"),""),IF(FLSPI="valid","-Spinnaker",""),IF(RSAMZ&gt;0,"-Mizzen",""),IF(RSA2M&gt;0,"-Second Main",""),IF(AS&gt;0,"-Staysail",""),IF(AD&gt;0,"-Drifter","")))</f>
        <v>Main-Genoa-Spinnaker</v>
      </c>
      <c r="I62" s="1">
        <v>39537</v>
      </c>
      <c r="J62" s="1">
        <v>40504</v>
      </c>
      <c r="K62" s="87" t="s">
        <v>313</v>
      </c>
      <c r="L62" s="87" t="s">
        <v>192</v>
      </c>
      <c r="M62" s="207"/>
      <c r="N62" s="97" t="s">
        <v>143</v>
      </c>
      <c r="O62" s="97" t="s">
        <v>154</v>
      </c>
      <c r="P62" s="100">
        <v>6.88</v>
      </c>
      <c r="Q62" s="90">
        <v>9.5</v>
      </c>
      <c r="R62" s="87"/>
      <c r="S62" s="256">
        <f>IF((LOAA&gt;LOA),0.025*LOAA,0.025*LOA)</f>
        <v>0.23750000000000002</v>
      </c>
      <c r="T62" s="91">
        <v>0.12</v>
      </c>
      <c r="U62" s="91">
        <v>0</v>
      </c>
      <c r="V62" s="258">
        <f>IF((_xlfn.SINGLE(LOAA)&gt;_xlfn.SINGLE(LOA)),_xlfn.SINGLE(LOAA),_xlfn.SINGLE(LOA)-_xlfn.SINGLE(FOC)-_xlfn.SINGLE(AOC))</f>
        <v>9.3800000000000008</v>
      </c>
      <c r="W62" s="259">
        <f>IF(RL&gt;0,IF(RL&gt;'Look Ups'!Y$7,'Look Ups'!Y$8,('Look Ups'!Y$3*RL^3+'Look Ups'!Y$4*RL^2+'Look Ups'!Y$5*RL+'Look Ups'!Y$6)),0)</f>
        <v>0.29746653117600003</v>
      </c>
      <c r="X62" s="92">
        <v>2079</v>
      </c>
      <c r="Y62" s="262">
        <f ca="1">IF(WDATE&lt;(TODAY()-'Look Ups'!$D$4*365),-WM*'Look Ups'!$D$5/100,0)</f>
        <v>-311.85000000000002</v>
      </c>
      <c r="Z62" s="93"/>
      <c r="AA62" s="93"/>
      <c r="AB62" s="75"/>
      <c r="AC62" s="265">
        <f>WCD+NC*'Look Ups'!$AF$3</f>
        <v>0</v>
      </c>
      <c r="AD62" s="265">
        <f ca="1">IF(RL&lt;'Look Ups'!AM$3,'Look Ups'!AM$4,IF(RL&gt;'Look Ups'!AM$5,'Look Ups'!AM$6,(RL-'Look Ups'!AM$3)/('Look Ups'!AM$5-'Look Ups'!AM$3)*('Look Ups'!AM$6-'Look Ups'!AM$4)+'Look Ups'!AM$4))/100*WS</f>
        <v>357.92819999999995</v>
      </c>
      <c r="AE62" s="266">
        <f ca="1">WM+WP+WE</f>
        <v>1767.15</v>
      </c>
      <c r="AF62" s="267">
        <f ca="1">_xlfn.SINGLE(WS)+IF(_xlfn.SINGLE(TCW)&gt;=_xlfn.SINGLE(CWA),_xlfn.SINGLE(CWA),_xlfn.SINGLE(TCW))</f>
        <v>1767.15</v>
      </c>
      <c r="AG62" s="94" t="s">
        <v>145</v>
      </c>
      <c r="AH62" s="95" t="s">
        <v>146</v>
      </c>
      <c r="AI62" s="96" t="s">
        <v>147</v>
      </c>
      <c r="AJ62" s="218"/>
      <c r="AK62" s="273">
        <f>IF(C62="",0,VLOOKUP(AG62,'Look Ups'!$F$3:$G$6,2,0)*VLOOKUP(AH62,'Look Ups'!$I$3:$J$5,2,0)*VLOOKUP(AI62,'Look Ups'!$L$3:$M$7,2,0)*IF(AJ62="",1,VLOOKUP(AJ62,'Look Ups'!$O$3:$P$4,2,0)))</f>
        <v>1</v>
      </c>
      <c r="AL62" s="83">
        <v>12.53</v>
      </c>
      <c r="AM62" s="91">
        <v>12.23</v>
      </c>
      <c r="AN62" s="91">
        <v>4.1900000000000004</v>
      </c>
      <c r="AO62" s="91">
        <v>1.08</v>
      </c>
      <c r="AP62" s="91">
        <v>0.66</v>
      </c>
      <c r="AQ62" s="91">
        <v>12.6</v>
      </c>
      <c r="AR62" s="91">
        <v>0.16</v>
      </c>
      <c r="AS62" s="91">
        <v>4.37</v>
      </c>
      <c r="AT62" s="91">
        <v>0</v>
      </c>
      <c r="AU62" s="91">
        <v>0</v>
      </c>
      <c r="AV62" s="91" t="s">
        <v>148</v>
      </c>
      <c r="AW62" s="97" t="s">
        <v>314</v>
      </c>
      <c r="AX62" s="256">
        <f>P+ER</f>
        <v>12.6</v>
      </c>
      <c r="AY62" s="256">
        <f>P*0.375*MC</f>
        <v>0</v>
      </c>
      <c r="AZ62" s="275">
        <f>IF(C62="",0,(0.5*(_ML1*LPM)+0.5*(_ML1*HB)+0.66*(P*PR)+0.66*(_ML2*RDM)+0.66*(E*ER))*VLOOKUP(BATT,'Look Ups'!$U$3:$V$4,2,0))</f>
        <v>39.674498</v>
      </c>
      <c r="BA62" s="98"/>
      <c r="BB62" s="99"/>
      <c r="BC62" s="83">
        <v>11.27</v>
      </c>
      <c r="BD62" s="91">
        <v>3.37</v>
      </c>
      <c r="BE62" s="91">
        <v>3.71</v>
      </c>
      <c r="BF62" s="91">
        <v>0.15</v>
      </c>
      <c r="BG62" s="91">
        <v>10.28</v>
      </c>
      <c r="BH62" s="91"/>
      <c r="BI62" s="91"/>
      <c r="BJ62" s="91">
        <v>0</v>
      </c>
      <c r="BK62" s="91">
        <v>-0.02</v>
      </c>
      <c r="BL62" s="97">
        <v>0</v>
      </c>
      <c r="BM62" s="275">
        <f>(0.5*LL*LPG)+(0.5*_LG1*HG)+(0.66*LL*LLRG)+(0.66*FG*FRG)+(IF((HG&gt;0),(0.66*_LG2*LRG),(0.66*_LG1*LRG)))</f>
        <v>19.208476000000001</v>
      </c>
      <c r="BN62" s="282"/>
      <c r="BO62" s="283"/>
      <c r="BP62" s="284"/>
      <c r="BQ62" s="284"/>
      <c r="BR62" s="283"/>
      <c r="BS62" s="284"/>
      <c r="BT62" s="284"/>
      <c r="BU62" s="280">
        <f>(0.5*LLS*LPS)+(0.66*LLS*LLRS)+(0.66*LS*LRS)+(0.66*FS*FRS)</f>
        <v>0</v>
      </c>
      <c r="BV62" s="285"/>
      <c r="BW62" s="283"/>
      <c r="BX62" s="283"/>
      <c r="BY62" s="283"/>
      <c r="BZ62" s="283"/>
      <c r="CA62" s="283"/>
      <c r="CB62" s="283"/>
      <c r="CC62" s="275">
        <f>(0.5*LLD*LPD)+(0.66*LLD*LLRD)+(0.66*LCHD*LRD)+(0.66*FD*FRD)</f>
        <v>0</v>
      </c>
      <c r="CD62" s="98">
        <v>8.56</v>
      </c>
      <c r="CE62" s="91">
        <v>14.13</v>
      </c>
      <c r="CF62" s="91">
        <v>13.02</v>
      </c>
      <c r="CG62" s="91">
        <v>7.7</v>
      </c>
      <c r="CH62" s="266">
        <f>IF(SF&gt;0,SMG/SF*100,"")</f>
        <v>89.953271028037392</v>
      </c>
      <c r="CI62" s="283"/>
      <c r="CJ62" s="280">
        <f>SF*(_SL1+_SL2)/4+(SMG-SF/2)*(_SL1+_SL2)/3</f>
        <v>89.051999999999992</v>
      </c>
      <c r="CK62" s="83"/>
      <c r="CL62" s="91"/>
      <c r="CM62" s="91"/>
      <c r="CN62" s="91"/>
      <c r="CO62" s="256" t="str">
        <f>IF(SCRF&gt;0,SCRMG/SCRF*100,"")</f>
        <v/>
      </c>
      <c r="CP62" s="283"/>
      <c r="CQ62" s="256">
        <f>SCRF*(SCRL1+SCRL2)/4+(SCRMG-SCRF/2)*(SCRL1+SCRL2)/3</f>
        <v>0</v>
      </c>
      <c r="CR62" s="256" t="str">
        <f>IF(CO62&lt;'Look Ups'!$AC$4,"Yes","No")</f>
        <v>No</v>
      </c>
      <c r="CS62" s="267">
        <f>IF(CR62="Yes",MIN(150,('Look Ups'!$AC$4-PSCR)/('Look Ups'!$AC$4-'Look Ups'!$AC$3)*100),0)</f>
        <v>0</v>
      </c>
      <c r="CT62" s="83"/>
      <c r="CU62" s="91"/>
      <c r="CV62" s="91"/>
      <c r="CW62" s="91"/>
      <c r="CX62" s="256" t="str">
        <f>IF(USCRF&gt;0,USCRMG/USCRF*100,"")</f>
        <v/>
      </c>
      <c r="CY62" s="293">
        <f>IF(PUSCR&lt;'Look Ups'!$AC$4,MIN(150,('Look Ups'!$AC$4-PUSCR)/('Look Ups'!$AC$4-'Look Ups'!$AC$3)*100),0)</f>
        <v>0</v>
      </c>
      <c r="CZ62" s="275">
        <f>IF(PUSCR&lt;'Look Ups'!$AC$4,USCRF*(USCRL1+USCRL2)/4+(USCRMG-USCRF/2)*(USCRL1+USCRL2)/3,0)</f>
        <v>0</v>
      </c>
      <c r="DA62" s="294">
        <f>IF(ZVAL=1,1,IF(LPM&gt;0,0.64*((AM+MAM)/(E+(MC/2))^2)^0.3,0))</f>
        <v>1</v>
      </c>
      <c r="DB62" s="256">
        <f>0.65*((AM+MAM)*EFM)+0.35*((AM+MAM)*ZVAL)</f>
        <v>39.674498</v>
      </c>
      <c r="DC62" s="256">
        <f>IF(ZVAL=1,1,IF(LPG&gt;0,0.72*(AG/(LPG^2))^0.3,0))</f>
        <v>1</v>
      </c>
      <c r="DD62" s="256">
        <f>AG*EFG</f>
        <v>19.208476000000001</v>
      </c>
      <c r="DE62" s="256">
        <f>IF(AZ62&gt;0,'Look Ups'!$S$3,0)</f>
        <v>1</v>
      </c>
      <c r="DF62" s="256">
        <f>IF(LPS&gt;0,0.72*(AS/(LPS^2))^0.3,0)</f>
        <v>0</v>
      </c>
      <c r="DG62" s="256">
        <f>EFS*AS</f>
        <v>0</v>
      </c>
      <c r="DH62" s="256">
        <f>IF(LPD&gt;0,0.72*(AD/(LPD^2))^0.3,0)</f>
        <v>0</v>
      </c>
      <c r="DI62" s="280">
        <f>IF((AD-AG)&gt;0,0.3*(AD-AG)*EFD,0)</f>
        <v>0</v>
      </c>
      <c r="DJ62" s="295" t="str">
        <f>IF((SCRF=0),"-",IF(AND(MSASC&gt;AG,SCRMG&lt;(0.75*SCRF)),"valid","ERROR"))</f>
        <v>-</v>
      </c>
      <c r="DK62" s="266" t="str">
        <f>IF((SF=0),"-",IF((SMG&lt;(0.75*SF)),"ERROR",IF(AND(MSASP&gt;MSASC,MSASP&gt;AG,MSASP&gt;=0.36*RSAM),"valid","Small")))</f>
        <v>valid</v>
      </c>
      <c r="DL62" s="267" t="str">
        <f>IF(C62="","",CONCATENATE("MG",IF(FLSCR="valid","Scr",""),IF(FLSPI="valid","SP","")))</f>
        <v>MGSP</v>
      </c>
      <c r="DM62" s="294">
        <f>RSAM+RSAG</f>
        <v>58.882974000000004</v>
      </c>
      <c r="DN62" s="256">
        <f>IF(MSASP&gt;0,'Look Ups'!$AI$4*(ZVAL*MSASP-RSAG),0)</f>
        <v>20.953057199999996</v>
      </c>
      <c r="DO62" s="256">
        <f>IF(AND(MSASC&gt;0,(MSASC&gt;=0.36*RSAM)),('Look Ups'!$AI$3*(ZVAL*MSASC-RSAG)),(0))</f>
        <v>0</v>
      </c>
      <c r="DP62" s="256">
        <f>IF(MSASP&gt;0,'Look Ups'!$AI$5*(ZVAL*MSASP-RSAG),0)</f>
        <v>19.556186719999999</v>
      </c>
      <c r="DQ62" s="256">
        <f>IF(MSASC&gt;0,'Look Ups'!$AI$6*(MSASC-RSAG),0)</f>
        <v>0</v>
      </c>
      <c r="DR62" s="280">
        <f>'Look Ups'!$AI$7*MAX(IF(MSAUSC&gt;0,EUSC/100*(MSAUSC-RSAG),0),IF(CR62="Yes",ELSC/100*(MSASC-RSAG),0))</f>
        <v>0</v>
      </c>
      <c r="DS62" s="280">
        <f>0.36*RSAM</f>
        <v>14.28281928</v>
      </c>
      <c r="DT62" s="296">
        <f>_xlfn.IFS(SPC="MG",RAMG+DS62,SPC="MGScr",RAMG+RASCO,SPC="MGSp",RAMG+RASPO,SPC="MGScrSp",RAMG+RASPSC+RASCR)+RAUSC+RSAST+RSAD+RSAMZ+RSA2M</f>
        <v>79.836031200000008</v>
      </c>
      <c r="DU62" s="107"/>
    </row>
    <row r="63" spans="1:125" ht="15.6" customHeight="1" x14ac:dyDescent="0.3">
      <c r="A63" s="4"/>
      <c r="B63" s="64"/>
      <c r="C63" s="64" t="s">
        <v>315</v>
      </c>
      <c r="D63" s="101" t="s">
        <v>316</v>
      </c>
      <c r="E63" s="86" t="s">
        <v>317</v>
      </c>
      <c r="F63" s="252">
        <f ca="1">IF(RW=0,0,ROUND(DLF*0.93*RL^LF*RSA^0.4/RW^0.325,3))</f>
        <v>0.89500000000000002</v>
      </c>
      <c r="G63" s="252" t="str">
        <f ca="1">IF(OR(FLSCR="ERROR",FLSPI="ERROR"),"No",IF(TODAY()-'Look Ups'!$D$4*365&gt;I63,"WP Applied","Yes"))</f>
        <v>Yes</v>
      </c>
      <c r="H63" s="253" t="str">
        <f>IF(SPC="","",CONCATENATE("Main-Genoa",IF(FLSCR="valid",IF(OR(CR63="Yes",MSAUSC&gt;0),"-Screacher (Upwind)","-Screacher"),""),IF(FLSPI="valid","-Spinnaker",""),IF(RSAMZ&gt;0,"-Mizzen",""),IF(RSA2M&gt;0,"-Second Main",""),IF(AS&gt;0,"-Staysail",""),IF(AD&gt;0,"-Drifter","")))</f>
        <v>Main-Genoa-Spinnaker</v>
      </c>
      <c r="I63" s="1">
        <v>42672</v>
      </c>
      <c r="J63" s="1">
        <v>43781</v>
      </c>
      <c r="K63" s="87" t="s">
        <v>141</v>
      </c>
      <c r="L63" s="87" t="s">
        <v>142</v>
      </c>
      <c r="M63" s="207"/>
      <c r="N63" s="97" t="s">
        <v>143</v>
      </c>
      <c r="O63" s="97" t="s">
        <v>154</v>
      </c>
      <c r="P63" s="102"/>
      <c r="Q63" s="90">
        <v>8.17</v>
      </c>
      <c r="R63" s="87"/>
      <c r="S63" s="256">
        <f>IF((LOAA&gt;LOA),0.025*LOAA,0.025*LOA)</f>
        <v>0.20425000000000001</v>
      </c>
      <c r="T63" s="91">
        <v>0.05</v>
      </c>
      <c r="U63" s="91"/>
      <c r="V63" s="258">
        <f>IF((_xlfn.SINGLE(LOAA)&gt;_xlfn.SINGLE(LOA)),_xlfn.SINGLE(LOAA),_xlfn.SINGLE(LOA)-_xlfn.SINGLE(FOC)-_xlfn.SINGLE(AOC))</f>
        <v>8.1199999999999992</v>
      </c>
      <c r="W63" s="259">
        <f>IF(RL&gt;0,IF(RL&gt;'Look Ups'!Y$7,'Look Ups'!Y$8,('Look Ups'!Y$3*RL^3+'Look Ups'!Y$4*RL^2+'Look Ups'!Y$5*RL+'Look Ups'!Y$6)),0)</f>
        <v>0.294199621824</v>
      </c>
      <c r="X63" s="92">
        <v>1120</v>
      </c>
      <c r="Y63" s="262">
        <f ca="1">IF(WDATE&lt;(TODAY()-'Look Ups'!$D$4*365),-WM*'Look Ups'!$D$5/100,0)</f>
        <v>0</v>
      </c>
      <c r="Z63" s="93"/>
      <c r="AA63" s="93"/>
      <c r="AB63" s="75"/>
      <c r="AC63" s="265">
        <f>WCD+NC*'Look Ups'!$AF$3</f>
        <v>0</v>
      </c>
      <c r="AD63" s="265">
        <f ca="1">IF(RL&lt;'Look Ups'!AM$3,'Look Ups'!AM$4,IF(RL&gt;'Look Ups'!AM$5,'Look Ups'!AM$6,(RL-'Look Ups'!AM$3)/('Look Ups'!AM$5-'Look Ups'!AM$3)*('Look Ups'!AM$6-'Look Ups'!AM$4)+'Look Ups'!AM$4))/100*WS</f>
        <v>278.16727272727275</v>
      </c>
      <c r="AE63" s="266">
        <f ca="1">WM+WP+WE</f>
        <v>1120</v>
      </c>
      <c r="AF63" s="267">
        <f ca="1">_xlfn.SINGLE(WS)+IF(_xlfn.SINGLE(TCW)&gt;=_xlfn.SINGLE(CWA),_xlfn.SINGLE(CWA),_xlfn.SINGLE(TCW))</f>
        <v>1120</v>
      </c>
      <c r="AG63" s="94" t="s">
        <v>145</v>
      </c>
      <c r="AH63" s="95" t="s">
        <v>146</v>
      </c>
      <c r="AI63" s="96" t="s">
        <v>147</v>
      </c>
      <c r="AJ63" s="218"/>
      <c r="AK63" s="273">
        <f>IF(C63="",0,VLOOKUP(AG63,'Look Ups'!$F$3:$G$6,2,0)*VLOOKUP(AH63,'Look Ups'!$I$3:$J$5,2,0)*VLOOKUP(AI63,'Look Ups'!$L$3:$M$7,2,0)*IF(AJ63="",1,VLOOKUP(AJ63,'Look Ups'!$O$3:$P$4,2,0)))</f>
        <v>1</v>
      </c>
      <c r="AL63" s="83">
        <v>10.58</v>
      </c>
      <c r="AM63" s="91">
        <v>10.58</v>
      </c>
      <c r="AN63" s="91">
        <v>3.13</v>
      </c>
      <c r="AO63" s="91">
        <v>0</v>
      </c>
      <c r="AP63" s="91">
        <v>1.54</v>
      </c>
      <c r="AQ63" s="91">
        <v>10.3</v>
      </c>
      <c r="AR63" s="91">
        <v>0.03</v>
      </c>
      <c r="AS63" s="91">
        <v>3.23</v>
      </c>
      <c r="AT63" s="91">
        <v>7.0000000000000007E-2</v>
      </c>
      <c r="AU63" s="91">
        <v>0.48</v>
      </c>
      <c r="AV63" s="91" t="s">
        <v>148</v>
      </c>
      <c r="AW63" s="97"/>
      <c r="AX63" s="256">
        <f>P+ER</f>
        <v>10.370000000000001</v>
      </c>
      <c r="AY63" s="256">
        <f>P*0.375*MC</f>
        <v>1.8540000000000001</v>
      </c>
      <c r="AZ63" s="275">
        <f>IF(C63="",0,(0.5*(_ML1*LPM)+0.5*(_ML1*HB)+0.66*(P*PR)+0.66*(_ML2*RDM)+0.66*(E*ER))*VLOOKUP(BATT,'Look Ups'!$U$3:$V$4,2,0))</f>
        <v>27.664377999999999</v>
      </c>
      <c r="BA63" s="98"/>
      <c r="BB63" s="99"/>
      <c r="BC63" s="227">
        <v>9.16</v>
      </c>
      <c r="BD63" s="228">
        <v>3.07</v>
      </c>
      <c r="BE63" s="228">
        <v>3.37</v>
      </c>
      <c r="BF63" s="228">
        <v>1.4999999999999999E-2</v>
      </c>
      <c r="BG63" s="228">
        <v>8.26</v>
      </c>
      <c r="BH63" s="228"/>
      <c r="BI63" s="228"/>
      <c r="BJ63" s="228">
        <v>0.19</v>
      </c>
      <c r="BK63" s="228">
        <v>-0.06</v>
      </c>
      <c r="BL63" s="97" t="s">
        <v>318</v>
      </c>
      <c r="BM63" s="275">
        <f>(0.5*LL*LPG)+(0.5*_LG1*HG)+(0.66*LL*LLRG)+(0.66*FG*FRG)+(IF((HG&gt;0),(0.66*_LG2*LRG),(0.66*_LG1*LRG)))</f>
        <v>14.767030999999999</v>
      </c>
      <c r="BN63" s="282"/>
      <c r="BO63" s="283"/>
      <c r="BP63" s="284"/>
      <c r="BQ63" s="284"/>
      <c r="BR63" s="283"/>
      <c r="BS63" s="284"/>
      <c r="BT63" s="284"/>
      <c r="BU63" s="280">
        <f>(0.5*LLS*LPS)+(0.66*LLS*LLRS)+(0.66*LS*LRS)+(0.66*FS*FRS)</f>
        <v>0</v>
      </c>
      <c r="BV63" s="285"/>
      <c r="BW63" s="283"/>
      <c r="BX63" s="283"/>
      <c r="BY63" s="283"/>
      <c r="BZ63" s="283"/>
      <c r="CA63" s="283"/>
      <c r="CB63" s="283"/>
      <c r="CC63" s="275">
        <f>(0.5*LLD*LPD)+(0.66*LLD*LLRD)+(0.66*LCHD*LRD)+(0.66*FD*FRD)</f>
        <v>0</v>
      </c>
      <c r="CD63" s="229">
        <v>8.01</v>
      </c>
      <c r="CE63" s="228">
        <v>11.96</v>
      </c>
      <c r="CF63" s="228">
        <v>11.07</v>
      </c>
      <c r="CG63" s="228">
        <v>6.07</v>
      </c>
      <c r="CH63" s="266">
        <f>IF(SF&gt;0,SMG/SF*100,"")</f>
        <v>75.780274656679154</v>
      </c>
      <c r="CI63" s="286"/>
      <c r="CJ63" s="280">
        <f>SF*(_SL1+_SL2)/4+(SMG-SF/2)*(_SL1+_SL2)/3</f>
        <v>61.969891666666676</v>
      </c>
      <c r="CK63" s="227"/>
      <c r="CL63" s="228"/>
      <c r="CM63" s="228"/>
      <c r="CN63" s="228"/>
      <c r="CO63" s="256" t="str">
        <f>IF(SCRF&gt;0,SCRMG/SCRF*100,"")</f>
        <v/>
      </c>
      <c r="CP63" s="286"/>
      <c r="CQ63" s="256">
        <f>SCRF*(SCRL1+SCRL2)/4+(SCRMG-SCRF/2)*(SCRL1+SCRL2)/3</f>
        <v>0</v>
      </c>
      <c r="CR63" s="256" t="str">
        <f>IF(CO63&lt;'Look Ups'!$AC$4,"Yes","No")</f>
        <v>No</v>
      </c>
      <c r="CS63" s="267">
        <f>IF(CR63="Yes",MIN(150,('Look Ups'!$AC$4-PSCR)/('Look Ups'!$AC$4-'Look Ups'!$AC$3)*100),0)</f>
        <v>0</v>
      </c>
      <c r="CT63" s="227"/>
      <c r="CU63" s="228"/>
      <c r="CV63" s="228"/>
      <c r="CW63" s="228"/>
      <c r="CX63" s="256" t="str">
        <f>IF(USCRF&gt;0,USCRMG/USCRF*100,"")</f>
        <v/>
      </c>
      <c r="CY63" s="293">
        <f>IF(PUSCR&lt;'Look Ups'!$AC$4,MIN(150,('Look Ups'!$AC$4-PUSCR)/('Look Ups'!$AC$4-'Look Ups'!$AC$3)*100),0)</f>
        <v>0</v>
      </c>
      <c r="CZ63" s="275">
        <f>IF(PUSCR&lt;'Look Ups'!$AC$4,USCRF*(USCRL1+USCRL2)/4+(USCRMG-USCRF/2)*(USCRL1+USCRL2)/3,0)</f>
        <v>0</v>
      </c>
      <c r="DA63" s="294">
        <f>IF(ZVAL=1,1,IF(LPM&gt;0,0.64*((AM+MAM)/(E+(MC/2))^2)^0.3,0))</f>
        <v>1</v>
      </c>
      <c r="DB63" s="256">
        <f>0.65*((AM+MAM)*EFM)+0.35*((AM+MAM)*ZVAL)</f>
        <v>29.518377999999998</v>
      </c>
      <c r="DC63" s="256">
        <f>IF(ZVAL=1,1,IF(LPG&gt;0,0.72*(AG/(LPG^2))^0.3,0))</f>
        <v>1</v>
      </c>
      <c r="DD63" s="256">
        <f>AG*EFG</f>
        <v>14.767030999999999</v>
      </c>
      <c r="DE63" s="256">
        <f>IF(AZ63&gt;0,'Look Ups'!$S$3,0)</f>
        <v>1</v>
      </c>
      <c r="DF63" s="256">
        <f>IF(LPS&gt;0,0.72*(AS/(LPS^2))^0.3,0)</f>
        <v>0</v>
      </c>
      <c r="DG63" s="256">
        <f>EFS*AS</f>
        <v>0</v>
      </c>
      <c r="DH63" s="256">
        <f>IF(LPD&gt;0,0.72*(AD/(LPD^2))^0.3,0)</f>
        <v>0</v>
      </c>
      <c r="DI63" s="280">
        <f>IF((AD-AG)&gt;0,0.3*(AD-AG)*EFD,0)</f>
        <v>0</v>
      </c>
      <c r="DJ63" s="295" t="str">
        <f>IF((SCRF=0),"-",IF(AND(MSASC&gt;AG,SCRMG&lt;(0.75*SCRF)),"valid","ERROR"))</f>
        <v>-</v>
      </c>
      <c r="DK63" s="266" t="str">
        <f>IF((SF=0),"-",IF((SMG&lt;(0.75*SF)),"ERROR",IF(AND(MSASP&gt;MSASC,MSASP&gt;AG,MSASP&gt;=0.36*RSAM),"valid","Small")))</f>
        <v>valid</v>
      </c>
      <c r="DL63" s="267" t="str">
        <f>IF(C63="","",CONCATENATE("MG",IF(FLSCR="valid","Scr",""),IF(FLSPI="valid","SP","")))</f>
        <v>MGSP</v>
      </c>
      <c r="DM63" s="294">
        <f>RSAM+RSAG</f>
        <v>44.285409000000001</v>
      </c>
      <c r="DN63" s="256">
        <f>IF(MSASP&gt;0,'Look Ups'!$AI$4*(ZVAL*MSASP-RSAG),0)</f>
        <v>14.160858200000003</v>
      </c>
      <c r="DO63" s="256">
        <f>IF(AND(MSASC&gt;0,(MSASC&gt;=0.36*RSAM)),('Look Ups'!$AI$3*(ZVAL*MSASC-RSAG)),(0))</f>
        <v>0</v>
      </c>
      <c r="DP63" s="256">
        <f>IF(MSASP&gt;0,'Look Ups'!$AI$5*(ZVAL*MSASP-RSAG),0)</f>
        <v>13.216800986666671</v>
      </c>
      <c r="DQ63" s="256">
        <f>IF(MSASC&gt;0,'Look Ups'!$AI$6*(MSASC-RSAG),0)</f>
        <v>0</v>
      </c>
      <c r="DR63" s="280">
        <f>'Look Ups'!$AI$7*MAX(IF(MSAUSC&gt;0,EUSC/100*(MSAUSC-RSAG),0),IF(CR63="Yes",ELSC/100*(MSASC-RSAG),0))</f>
        <v>0</v>
      </c>
      <c r="DS63" s="280">
        <f>0.36*RSAM</f>
        <v>10.62661608</v>
      </c>
      <c r="DT63" s="296">
        <f>_xlfn.IFS(SPC="MG",RAMG+DS63,SPC="MGScr",RAMG+RASCO,SPC="MGSp",RAMG+RASPO,SPC="MGScrSp",RAMG+RASPSC+RASCR)+RAUSC+RSAST+RSAD+RSAMZ+RSA2M</f>
        <v>58.446267200000008</v>
      </c>
      <c r="DU63" s="107"/>
    </row>
    <row r="64" spans="1:125" ht="15.6" customHeight="1" x14ac:dyDescent="0.3">
      <c r="A64" s="4"/>
      <c r="B64" s="64"/>
      <c r="C64" s="64" t="s">
        <v>320</v>
      </c>
      <c r="D64" s="85" t="s">
        <v>321</v>
      </c>
      <c r="E64" s="391" t="s">
        <v>1151</v>
      </c>
      <c r="F64" s="252">
        <f ca="1">IF(RW=0,0,ROUND(DLF*0.93*RL^LF*RSA^0.4/RW^0.325,3))</f>
        <v>0.93899999999999995</v>
      </c>
      <c r="G64" s="252" t="str">
        <f ca="1">IF(OR(FLSCR="ERROR",FLSPI="ERROR"),"No",IF(TODAY()-'Look Ups'!$D$4*365&gt;I64,"WP Applied","Yes"))</f>
        <v>Yes</v>
      </c>
      <c r="H64" s="253" t="str">
        <f>IF(SPC="","",CONCATENATE("Main-Genoa",IF(FLSCR="valid",IF(OR(CR64="Yes",MSAUSC&gt;0),"-Screacher (Upwind)","-Screacher"),""),IF(FLSPI="valid","-Spinnaker",""),IF(RSAMZ&gt;0,"-Mizzen",""),IF(RSA2M&gt;0,"-Second Main",""),IF(AS&gt;0,"-Staysail",""),IF(AD&gt;0,"-Drifter","")))</f>
        <v>Main-Genoa-Screacher-Spinnaker</v>
      </c>
      <c r="I64" s="1">
        <v>44231</v>
      </c>
      <c r="J64" s="1">
        <v>45303</v>
      </c>
      <c r="K64" s="87" t="s">
        <v>1133</v>
      </c>
      <c r="L64" s="87" t="s">
        <v>245</v>
      </c>
      <c r="M64" s="207"/>
      <c r="N64" s="97" t="s">
        <v>143</v>
      </c>
      <c r="O64" s="97" t="s">
        <v>154</v>
      </c>
      <c r="P64" s="100"/>
      <c r="Q64" s="90">
        <v>9.36</v>
      </c>
      <c r="R64" s="87"/>
      <c r="S64" s="256">
        <f>IF((LOAA&gt;LOA),0.025*LOAA,0.025*LOA)</f>
        <v>0.23399999999999999</v>
      </c>
      <c r="T64" s="117">
        <v>0.12</v>
      </c>
      <c r="U64" s="117">
        <v>0</v>
      </c>
      <c r="V64" s="258">
        <f>IF((_xlfn.SINGLE(LOAA)&gt;_xlfn.SINGLE(LOA)),_xlfn.SINGLE(LOAA),_xlfn.SINGLE(LOA)-_xlfn.SINGLE(FOC)-_xlfn.SINGLE(AOC))</f>
        <v>9.24</v>
      </c>
      <c r="W64" s="259">
        <f>IF(RL&gt;0,IF(RL&gt;'Look Ups'!Y$7,'Look Ups'!Y$8,('Look Ups'!Y$3*RL^3+'Look Ups'!Y$4*RL^2+'Look Ups'!Y$5*RL+'Look Ups'!Y$6)),0)</f>
        <v>0.29718469779200002</v>
      </c>
      <c r="X64" s="92">
        <v>1597</v>
      </c>
      <c r="Y64" s="262">
        <f ca="1">IF(WDATE&lt;(TODAY()-'Look Ups'!$D$4*365),-WM*'Look Ups'!$D$5/100,0)</f>
        <v>0</v>
      </c>
      <c r="Z64" s="93"/>
      <c r="AA64" s="93"/>
      <c r="AB64" s="75"/>
      <c r="AC64" s="265">
        <f>WCD+NC*'Look Ups'!$AF$3</f>
        <v>0</v>
      </c>
      <c r="AD64" s="265">
        <f ca="1">IF(RL&lt;'Look Ups'!AM$3,'Look Ups'!AM$4,IF(RL&gt;'Look Ups'!AM$5,'Look Ups'!AM$6,(RL-'Look Ups'!AM$3)/('Look Ups'!AM$5-'Look Ups'!AM$3)*('Look Ups'!AM$6-'Look Ups'!AM$4)+'Look Ups'!AM$4))/100*WS</f>
        <v>331.59527272727269</v>
      </c>
      <c r="AE64" s="266">
        <f ca="1">WM+WP+WE</f>
        <v>1597</v>
      </c>
      <c r="AF64" s="267">
        <f ca="1">_xlfn.SINGLE(WS)+IF(_xlfn.SINGLE(TCW)&gt;=_xlfn.SINGLE(CWA),_xlfn.SINGLE(CWA),_xlfn.SINGLE(TCW))</f>
        <v>1597</v>
      </c>
      <c r="AG64" s="94" t="s">
        <v>145</v>
      </c>
      <c r="AH64" s="95" t="s">
        <v>146</v>
      </c>
      <c r="AI64" s="96" t="s">
        <v>147</v>
      </c>
      <c r="AJ64" s="218"/>
      <c r="AK64" s="273">
        <f>IF(C64="",0,VLOOKUP(AG64,'Look Ups'!$F$3:$G$6,2,0)*VLOOKUP(AH64,'Look Ups'!$I$3:$J$5,2,0)*VLOOKUP(AI64,'Look Ups'!$L$3:$M$7,2,0)*IF(AJ64="",1,VLOOKUP(AJ64,'Look Ups'!$O$3:$P$4,2,0)))</f>
        <v>1</v>
      </c>
      <c r="AL64" s="83">
        <v>12.37</v>
      </c>
      <c r="AM64" s="91">
        <v>12.04</v>
      </c>
      <c r="AN64" s="91">
        <v>4.13</v>
      </c>
      <c r="AO64" s="91">
        <v>1.087</v>
      </c>
      <c r="AP64" s="91">
        <v>0.628</v>
      </c>
      <c r="AQ64" s="91">
        <v>11.798999999999999</v>
      </c>
      <c r="AR64" s="91">
        <v>5.7000000000000002E-2</v>
      </c>
      <c r="AS64" s="91">
        <v>4.3099999999999996</v>
      </c>
      <c r="AT64" s="91">
        <v>4.0000000000000001E-3</v>
      </c>
      <c r="AU64" s="91">
        <v>0.57000000000000006</v>
      </c>
      <c r="AV64" s="91" t="s">
        <v>148</v>
      </c>
      <c r="AW64" s="97">
        <v>0</v>
      </c>
      <c r="AX64" s="256">
        <f>P+ER</f>
        <v>11.802999999999999</v>
      </c>
      <c r="AY64" s="256">
        <f>P*0.375*MC</f>
        <v>2.5220362500000002</v>
      </c>
      <c r="AZ64" s="275">
        <f>IF(C64="",0,(0.5*(_ML1*LPM)+0.5*(_ML1*HB)+0.66*(P*PR)+0.66*(_ML2*RDM)+0.66*(E*ER))*VLOOKUP(BATT,'Look Ups'!$U$3:$V$4,2,0))</f>
        <v>37.71274098</v>
      </c>
      <c r="BA64" s="98"/>
      <c r="BB64" s="99"/>
      <c r="BC64" s="83">
        <v>9.91</v>
      </c>
      <c r="BD64" s="91">
        <v>3.67</v>
      </c>
      <c r="BE64" s="91">
        <v>4.01</v>
      </c>
      <c r="BF64" s="91">
        <v>6.3E-2</v>
      </c>
      <c r="BG64" s="91">
        <v>8.86</v>
      </c>
      <c r="BH64" s="91">
        <v>8.83</v>
      </c>
      <c r="BI64" s="91">
        <v>7.0000000000000007E-2</v>
      </c>
      <c r="BJ64" s="91">
        <v>-0.21</v>
      </c>
      <c r="BK64" s="91">
        <v>-7.0000000000000007E-2</v>
      </c>
      <c r="BL64" s="97">
        <v>0</v>
      </c>
      <c r="BM64" s="275">
        <f>(0.5*LL*LPG)+(0.5*_LG1*HG)+(0.66*LL*LLRG)+(0.66*FG*FRG)+(IF((HG&gt;0),(0.66*_LG2*LRG),(0.66*_LG1*LRG)))</f>
        <v>16.980005800000001</v>
      </c>
      <c r="BN64" s="282"/>
      <c r="BO64" s="283"/>
      <c r="BP64" s="284"/>
      <c r="BQ64" s="284"/>
      <c r="BR64" s="283"/>
      <c r="BS64" s="284"/>
      <c r="BT64" s="284"/>
      <c r="BU64" s="280">
        <f>(0.5*LLS*LPS)+(0.66*LLS*LLRS)+(0.66*LS*LRS)+(0.66*FS*FRS)</f>
        <v>0</v>
      </c>
      <c r="BV64" s="285"/>
      <c r="BW64" s="283"/>
      <c r="BX64" s="283"/>
      <c r="BY64" s="283"/>
      <c r="BZ64" s="283"/>
      <c r="CA64" s="283"/>
      <c r="CB64" s="283"/>
      <c r="CC64" s="275">
        <f>(0.5*LLD*LPD)+(0.66*LLD*LLRD)+(0.66*LCHD*LRD)+(0.66*FD*FRD)</f>
        <v>0</v>
      </c>
      <c r="CD64" s="98">
        <v>8.52</v>
      </c>
      <c r="CE64" s="91">
        <v>14.45</v>
      </c>
      <c r="CF64" s="91">
        <v>12.97</v>
      </c>
      <c r="CG64" s="91">
        <v>7.43</v>
      </c>
      <c r="CH64" s="266">
        <f>IF(SF&gt;0,SMG/SF*100,"")</f>
        <v>87.206572769953056</v>
      </c>
      <c r="CI64" s="283"/>
      <c r="CJ64" s="280">
        <f>SF*(_SL1+_SL2)/4+(SMG-SF/2)*(_SL1+_SL2)/3</f>
        <v>87.378399999999999</v>
      </c>
      <c r="CK64" s="98">
        <v>6.6449999999999996</v>
      </c>
      <c r="CL64" s="91">
        <v>11.69</v>
      </c>
      <c r="CM64" s="91">
        <v>9.9700000000000006</v>
      </c>
      <c r="CN64" s="91">
        <v>4.08</v>
      </c>
      <c r="CO64" s="256">
        <f>IF(SCRF&gt;0,SCRMG/SCRF*100,"")</f>
        <v>61.399548532731387</v>
      </c>
      <c r="CP64" s="283"/>
      <c r="CQ64" s="256">
        <f>SCRF*(SCRL1+SCRL2)/4+(SCRMG-SCRF/2)*(SCRL1+SCRL2)/3</f>
        <v>41.451824999999999</v>
      </c>
      <c r="CR64" s="256" t="str">
        <f>IF(CO64&lt;'Look Ups'!$AC$4,"Yes","No")</f>
        <v>No</v>
      </c>
      <c r="CS64" s="267">
        <f>IF(CR64="Yes",MIN(150,('Look Ups'!$AC$4-PSCR)/('Look Ups'!$AC$4-'Look Ups'!$AC$3)*100),0)</f>
        <v>0</v>
      </c>
      <c r="CT64" s="83"/>
      <c r="CU64" s="91"/>
      <c r="CV64" s="91"/>
      <c r="CW64" s="91"/>
      <c r="CX64" s="256" t="str">
        <f>IF(USCRF&gt;0,USCRMG/USCRF*100,"")</f>
        <v/>
      </c>
      <c r="CY64" s="293">
        <f>IF(PUSCR&lt;'Look Ups'!$AC$4,MIN(150,('Look Ups'!$AC$4-PUSCR)/('Look Ups'!$AC$4-'Look Ups'!$AC$3)*100),0)</f>
        <v>0</v>
      </c>
      <c r="CZ64" s="275">
        <f>IF(PUSCR&lt;'Look Ups'!$AC$4,USCRF*(USCRL1+USCRL2)/4+(USCRMG-USCRF/2)*(USCRL1+USCRL2)/3,0)</f>
        <v>0</v>
      </c>
      <c r="DA64" s="294">
        <f>IF(ZVAL=1,1,IF(LPM&gt;0,0.64*((AM+MAM)/(E+(MC/2))^2)^0.3,0))</f>
        <v>1</v>
      </c>
      <c r="DB64" s="256">
        <f>0.65*((AM+MAM)*EFM)+0.35*((AM+MAM)*ZVAL)</f>
        <v>40.234777229999999</v>
      </c>
      <c r="DC64" s="256">
        <f>IF(ZVAL=1,1,IF(LPG&gt;0,0.72*(AG/(LPG^2))^0.3,0))</f>
        <v>1</v>
      </c>
      <c r="DD64" s="256">
        <f>AG*EFG</f>
        <v>16.980005800000001</v>
      </c>
      <c r="DE64" s="256">
        <f>IF(AZ64&gt;0,'Look Ups'!$S$3,0)</f>
        <v>1</v>
      </c>
      <c r="DF64" s="256">
        <f>IF(LPS&gt;0,0.72*(AS/(LPS^2))^0.3,0)</f>
        <v>0</v>
      </c>
      <c r="DG64" s="256">
        <f>EFS*AS</f>
        <v>0</v>
      </c>
      <c r="DH64" s="256">
        <f>IF(LPD&gt;0,0.72*(AD/(LPD^2))^0.3,0)</f>
        <v>0</v>
      </c>
      <c r="DI64" s="280">
        <f>IF((AD-AG)&gt;0,0.3*(AD-AG)*EFD,0)</f>
        <v>0</v>
      </c>
      <c r="DJ64" s="295" t="str">
        <f>IF((SCRF=0),"-",IF(AND(MSASC&gt;AG,SCRMG&lt;(0.75*SCRF)),"valid","ERROR"))</f>
        <v>valid</v>
      </c>
      <c r="DK64" s="266" t="str">
        <f>IF((SF=0),"-",IF((SMG&lt;(0.75*SF)),"ERROR",IF(AND(MSASP&gt;MSASC,MSASP&gt;AG,MSASP&gt;=0.36*RSAM),"valid","Small")))</f>
        <v>valid</v>
      </c>
      <c r="DL64" s="267" t="str">
        <f>IF(C64="","",CONCATENATE("MG",IF(FLSCR="valid","Scr",""),IF(FLSPI="valid","SP","")))</f>
        <v>MGScrSP</v>
      </c>
      <c r="DM64" s="294">
        <f>RSAM+RSAG</f>
        <v>57.21478303</v>
      </c>
      <c r="DN64" s="256">
        <f>IF(MSASP&gt;0,'Look Ups'!$AI$4*(ZVAL*MSASP-RSAG),0)</f>
        <v>21.11951826</v>
      </c>
      <c r="DO64" s="256">
        <f>IF(AND(MSASC&gt;0,(MSASC&gt;=0.36*RSAM)),('Look Ups'!$AI$3*(ZVAL*MSASC-RSAG)),(0))</f>
        <v>8.5651367199999981</v>
      </c>
      <c r="DP64" s="256">
        <f>IF(MSASP&gt;0,'Look Ups'!$AI$5*(ZVAL*MSASP-RSAG),0)</f>
        <v>19.711550376000002</v>
      </c>
      <c r="DQ64" s="256">
        <f>IF(MSASC&gt;0,'Look Ups'!$AI$6*(MSASC-RSAG),0)</f>
        <v>1.7130273440000001</v>
      </c>
      <c r="DR64" s="280">
        <f>'Look Ups'!$AI$7*MAX(IF(MSAUSC&gt;0,EUSC/100*(MSAUSC-RSAG),0),IF(CR64="Yes",ELSC/100*(MSASC-RSAG),0))</f>
        <v>0</v>
      </c>
      <c r="DS64" s="280">
        <f>0.36*RSAM</f>
        <v>14.4845198028</v>
      </c>
      <c r="DT64" s="296">
        <f>_xlfn.IFS(SPC="MG",RAMG+DS64,SPC="MGScr",RAMG+RASCO,SPC="MGSp",RAMG+RASPO,SPC="MGScrSp",RAMG+RASPSC+RASCR)+RAUSC+RSAST+RSAD+RSAMZ+RSA2M</f>
        <v>78.639360749999994</v>
      </c>
      <c r="DU64" s="63"/>
    </row>
    <row r="65" spans="1:125" ht="15.6" customHeight="1" x14ac:dyDescent="0.3">
      <c r="A65" s="4"/>
      <c r="B65" s="64"/>
      <c r="C65" s="64" t="s">
        <v>323</v>
      </c>
      <c r="D65" s="85" t="s">
        <v>324</v>
      </c>
      <c r="E65" s="86" t="s">
        <v>230</v>
      </c>
      <c r="F65" s="252">
        <f ca="1">IF(RW=0,0,ROUND(DLF*0.93*RL^LF*RSA^0.4/RW^0.325,3))</f>
        <v>0.96499999999999997</v>
      </c>
      <c r="G65" s="252" t="str">
        <f ca="1">IF(OR(FLSCR="ERROR",FLSPI="ERROR"),"No",IF(TODAY()-'Look Ups'!$D$4*365&gt;I65,"WP Applied","Yes"))</f>
        <v>Yes</v>
      </c>
      <c r="H65" s="253" t="str">
        <f>IF(SPC="","",CONCATENATE("Main-Genoa",IF(FLSCR="valid",IF(OR(CR65="Yes",MSAUSC&gt;0),"-Screacher (Upwind)","-Screacher"),""),IF(FLSPI="valid","-Spinnaker",""),IF(RSAMZ&gt;0,"-Mizzen",""),IF(RSA2M&gt;0,"-Second Main",""),IF(AS&gt;0,"-Staysail",""),IF(AD&gt;0,"-Drifter","")))</f>
        <v>Main-Genoa-Screacher</v>
      </c>
      <c r="I65" s="1">
        <v>42823</v>
      </c>
      <c r="J65" s="1">
        <v>42829</v>
      </c>
      <c r="K65" s="426" t="s">
        <v>325</v>
      </c>
      <c r="L65" s="87" t="s">
        <v>142</v>
      </c>
      <c r="M65" s="207"/>
      <c r="N65" s="88" t="s">
        <v>143</v>
      </c>
      <c r="O65" s="88" t="s">
        <v>144</v>
      </c>
      <c r="P65" s="100"/>
      <c r="Q65" s="90">
        <v>7.26</v>
      </c>
      <c r="R65" s="87"/>
      <c r="S65" s="256">
        <f>IF((LOAA&gt;LOA),0.025*LOAA,0.025*LOA)</f>
        <v>0.18149999999999999</v>
      </c>
      <c r="T65" s="91"/>
      <c r="U65" s="91"/>
      <c r="V65" s="258">
        <f>IF((_xlfn.SINGLE(LOAA)&gt;_xlfn.SINGLE(LOA)),_xlfn.SINGLE(LOAA),_xlfn.SINGLE(LOA)-_xlfn.SINGLE(FOC)-_xlfn.SINGLE(AOC))</f>
        <v>7.26</v>
      </c>
      <c r="W65" s="259">
        <f>IF(RL&gt;0,IF(RL&gt;'Look Ups'!Y$7,'Look Ups'!Y$8,('Look Ups'!Y$3*RL^3+'Look Ups'!Y$4*RL^2+'Look Ups'!Y$5*RL+'Look Ups'!Y$6)),0)</f>
        <v>0.290907046808</v>
      </c>
      <c r="X65" s="92">
        <v>584</v>
      </c>
      <c r="Y65" s="262">
        <f ca="1">IF(WDATE&lt;(TODAY()-'Look Ups'!$D$4*365),-WM*'Look Ups'!$D$5/100,0)</f>
        <v>0</v>
      </c>
      <c r="Z65" s="93"/>
      <c r="AA65" s="93"/>
      <c r="AB65" s="75"/>
      <c r="AC65" s="265">
        <f>WCD+NC*'Look Ups'!$AF$3</f>
        <v>0</v>
      </c>
      <c r="AD65" s="265">
        <f ca="1">IF(RL&lt;'Look Ups'!AM$3,'Look Ups'!AM$4,IF(RL&gt;'Look Ups'!AM$5,'Look Ups'!AM$6,(RL-'Look Ups'!AM$3)/('Look Ups'!AM$5-'Look Ups'!AM$3)*('Look Ups'!AM$6-'Look Ups'!AM$4)+'Look Ups'!AM$4))/100*WS</f>
        <v>163.30763636363636</v>
      </c>
      <c r="AE65" s="266">
        <f ca="1">WM+WP+WE</f>
        <v>584</v>
      </c>
      <c r="AF65" s="267">
        <f ca="1">_xlfn.SINGLE(WS)+IF(_xlfn.SINGLE(TCW)&gt;=_xlfn.SINGLE(CWA),_xlfn.SINGLE(CWA),_xlfn.SINGLE(TCW))</f>
        <v>584</v>
      </c>
      <c r="AG65" s="94" t="s">
        <v>145</v>
      </c>
      <c r="AH65" s="95" t="s">
        <v>146</v>
      </c>
      <c r="AI65" s="96" t="s">
        <v>147</v>
      </c>
      <c r="AJ65" s="218"/>
      <c r="AK65" s="273">
        <f>IF(C65="",0,VLOOKUP(AG65,'Look Ups'!$F$3:$G$6,2,0)*VLOOKUP(AH65,'Look Ups'!$I$3:$J$5,2,0)*VLOOKUP(AI65,'Look Ups'!$L$3:$M$7,2,0)*IF(AJ65="",1,VLOOKUP(AJ65,'Look Ups'!$O$3:$P$4,2,0)))</f>
        <v>1</v>
      </c>
      <c r="AL65" s="83">
        <v>10.66</v>
      </c>
      <c r="AM65" s="91">
        <v>10.61</v>
      </c>
      <c r="AN65" s="91">
        <v>2.94</v>
      </c>
      <c r="AO65" s="91">
        <v>1.38</v>
      </c>
      <c r="AP65" s="91">
        <v>0.13</v>
      </c>
      <c r="AQ65" s="91">
        <v>10.74</v>
      </c>
      <c r="AR65" s="91">
        <v>0.09</v>
      </c>
      <c r="AS65" s="91">
        <v>2.97</v>
      </c>
      <c r="AT65" s="91">
        <v>0</v>
      </c>
      <c r="AU65" s="91">
        <v>0.51</v>
      </c>
      <c r="AV65" s="91" t="s">
        <v>148</v>
      </c>
      <c r="AW65" s="97"/>
      <c r="AX65" s="256">
        <f>P+ER</f>
        <v>10.74</v>
      </c>
      <c r="AY65" s="256">
        <f>P*0.375*MC</f>
        <v>2.0540249999999998</v>
      </c>
      <c r="AZ65" s="275">
        <f>IF(C65="",0,(0.5*(_ML1*LPM)+0.5*(_ML1*HB)+0.66*(P*PR)+0.66*(_ML2*RDM)+0.66*(E*ER))*VLOOKUP(BATT,'Look Ups'!$U$3:$V$4,2,0))</f>
        <v>24.573893999999996</v>
      </c>
      <c r="BA65" s="98"/>
      <c r="BB65" s="99"/>
      <c r="BC65" s="83">
        <v>9.19</v>
      </c>
      <c r="BD65" s="91">
        <v>2.08</v>
      </c>
      <c r="BE65" s="91">
        <v>2.3199999999999998</v>
      </c>
      <c r="BF65" s="91">
        <v>0.05</v>
      </c>
      <c r="BG65" s="91">
        <v>8.3699999999999992</v>
      </c>
      <c r="BH65" s="91"/>
      <c r="BI65" s="91"/>
      <c r="BJ65" s="91">
        <v>-7.0000000000000007E-2</v>
      </c>
      <c r="BK65" s="91"/>
      <c r="BL65" s="97"/>
      <c r="BM65" s="275">
        <f>(0.5*LL*LPG)+(0.5*_LG1*HG)+(0.66*LL*LLRG)+(0.66*FG*FRG)+(IF((HG&gt;0),(0.66*_LG2*LRG),(0.66*_LG1*LRG)))</f>
        <v>9.2474659999999993</v>
      </c>
      <c r="BN65" s="282"/>
      <c r="BO65" s="283"/>
      <c r="BP65" s="284"/>
      <c r="BQ65" s="284"/>
      <c r="BR65" s="283"/>
      <c r="BS65" s="284"/>
      <c r="BT65" s="284"/>
      <c r="BU65" s="280">
        <f>(0.5*LLS*LPS)+(0.66*LLS*LLRS)+(0.66*LS*LRS)+(0.66*FS*FRS)</f>
        <v>0</v>
      </c>
      <c r="BV65" s="285"/>
      <c r="BW65" s="283"/>
      <c r="BX65" s="283"/>
      <c r="BY65" s="283"/>
      <c r="BZ65" s="283"/>
      <c r="CA65" s="283"/>
      <c r="CB65" s="283"/>
      <c r="CC65" s="275">
        <f>(0.5*LLD*LPD)+(0.66*LLD*LLRD)+(0.66*LCHD*LRD)+(0.66*FD*FRD)</f>
        <v>0</v>
      </c>
      <c r="CD65" s="98"/>
      <c r="CE65" s="91"/>
      <c r="CF65" s="91"/>
      <c r="CG65" s="91"/>
      <c r="CH65" s="266" t="str">
        <f>IF(SF&gt;0,SMG/SF*100,"")</f>
        <v/>
      </c>
      <c r="CI65" s="283"/>
      <c r="CJ65" s="280">
        <f>SF*(_SL1+_SL2)/4+(SMG-SF/2)*(_SL1+_SL2)/3</f>
        <v>0</v>
      </c>
      <c r="CK65" s="83">
        <v>6.24</v>
      </c>
      <c r="CL65" s="91">
        <v>11.56</v>
      </c>
      <c r="CM65" s="91">
        <v>9.9600000000000009</v>
      </c>
      <c r="CN65" s="91">
        <v>3.73</v>
      </c>
      <c r="CO65" s="256">
        <f>IF(SCRF&gt;0,SCRMG/SCRF*100,"")</f>
        <v>59.775641025641022</v>
      </c>
      <c r="CP65" s="283"/>
      <c r="CQ65" s="256">
        <f>SCRF*(SCRL1+SCRL2)/4+(SCRMG-SCRF/2)*(SCRL1+SCRL2)/3</f>
        <v>37.946933333333334</v>
      </c>
      <c r="CR65" s="256" t="str">
        <f>IF(CO65&lt;'Look Ups'!$AC$4,"Yes","No")</f>
        <v>No</v>
      </c>
      <c r="CS65" s="267">
        <f>IF(CR65="Yes",MIN(150,('Look Ups'!$AC$4-PSCR)/('Look Ups'!$AC$4-'Look Ups'!$AC$3)*100),0)</f>
        <v>0</v>
      </c>
      <c r="CT65" s="83"/>
      <c r="CU65" s="91"/>
      <c r="CV65" s="91"/>
      <c r="CW65" s="91"/>
      <c r="CX65" s="256" t="str">
        <f>IF(USCRF&gt;0,USCRMG/USCRF*100,"")</f>
        <v/>
      </c>
      <c r="CY65" s="293">
        <f>IF(PUSCR&lt;'Look Ups'!$AC$4,MIN(150,('Look Ups'!$AC$4-PUSCR)/('Look Ups'!$AC$4-'Look Ups'!$AC$3)*100),0)</f>
        <v>0</v>
      </c>
      <c r="CZ65" s="275">
        <f>IF(PUSCR&lt;'Look Ups'!$AC$4,USCRF*(USCRL1+USCRL2)/4+(USCRMG-USCRF/2)*(USCRL1+USCRL2)/3,0)</f>
        <v>0</v>
      </c>
      <c r="DA65" s="294">
        <f>IF(ZVAL=1,1,IF(LPM&gt;0,0.64*((AM+MAM)/(E+(MC/2))^2)^0.3,0))</f>
        <v>1</v>
      </c>
      <c r="DB65" s="256">
        <f>0.65*((AM+MAM)*EFM)+0.35*((AM+MAM)*ZVAL)</f>
        <v>26.627918999999999</v>
      </c>
      <c r="DC65" s="256">
        <f>IF(ZVAL=1,1,IF(LPG&gt;0,0.72*(AG/(LPG^2))^0.3,0))</f>
        <v>1</v>
      </c>
      <c r="DD65" s="256">
        <f>AG*EFG</f>
        <v>9.2474659999999993</v>
      </c>
      <c r="DE65" s="256">
        <f>IF(AZ65&gt;0,'Look Ups'!$S$3,0)</f>
        <v>1</v>
      </c>
      <c r="DF65" s="256">
        <f>IF(LPS&gt;0,0.72*(AS/(LPS^2))^0.3,0)</f>
        <v>0</v>
      </c>
      <c r="DG65" s="256">
        <f>EFS*AS</f>
        <v>0</v>
      </c>
      <c r="DH65" s="256">
        <f>IF(LPD&gt;0,0.72*(AD/(LPD^2))^0.3,0)</f>
        <v>0</v>
      </c>
      <c r="DI65" s="280">
        <f>IF((AD-AG)&gt;0,0.3*(AD-AG)*EFD,0)</f>
        <v>0</v>
      </c>
      <c r="DJ65" s="295" t="str">
        <f>IF((SCRF=0),"-",IF(AND(MSASC&gt;AG,SCRMG&lt;(0.75*SCRF)),"valid","ERROR"))</f>
        <v>valid</v>
      </c>
      <c r="DK65" s="266" t="str">
        <f>IF((SF=0),"-",IF((SMG&lt;(0.75*SF)),"ERROR",IF(AND(MSASP&gt;MSASC,MSASP&gt;AG,MSASP&gt;=0.36*RSAM),"valid","Small")))</f>
        <v>-</v>
      </c>
      <c r="DL65" s="267" t="str">
        <f>IF(C65="","",CONCATENATE("MG",IF(FLSCR="valid","Scr",""),IF(FLSPI="valid","SP","")))</f>
        <v>MGScr</v>
      </c>
      <c r="DM65" s="294">
        <f>RSAM+RSAG</f>
        <v>35.875384999999994</v>
      </c>
      <c r="DN65" s="256">
        <f>IF(MSASP&gt;0,'Look Ups'!$AI$4*(ZVAL*MSASP-RSAG),0)</f>
        <v>0</v>
      </c>
      <c r="DO65" s="256">
        <f>IF(AND(MSASC&gt;0,(MSASC&gt;=0.36*RSAM)),('Look Ups'!$AI$3*(ZVAL*MSASC-RSAG)),(0))</f>
        <v>10.044813566666667</v>
      </c>
      <c r="DP65" s="256">
        <f>IF(MSASP&gt;0,'Look Ups'!$AI$5*(ZVAL*MSASP-RSAG),0)</f>
        <v>0</v>
      </c>
      <c r="DQ65" s="256">
        <f>IF(MSASC&gt;0,'Look Ups'!$AI$6*(MSASC-RSAG),0)</f>
        <v>2.0089627133333336</v>
      </c>
      <c r="DR65" s="280">
        <f>'Look Ups'!$AI$7*MAX(IF(MSAUSC&gt;0,EUSC/100*(MSAUSC-RSAG),0),IF(CR65="Yes",ELSC/100*(MSASC-RSAG),0))</f>
        <v>0</v>
      </c>
      <c r="DS65" s="280">
        <f>0.36*RSAM</f>
        <v>9.5860508399999986</v>
      </c>
      <c r="DT65" s="296">
        <f>_xlfn.IFS(SPC="MG",RAMG+DS65,SPC="MGScr",RAMG+RASCO,SPC="MGSp",RAMG+RASPO,SPC="MGScrSp",RAMG+RASPSC+RASCR)+RAUSC+RSAST+RSAD+RSAMZ+RSA2M</f>
        <v>45.920198566666663</v>
      </c>
      <c r="DU65" s="27"/>
    </row>
    <row r="66" spans="1:125" ht="15.6" customHeight="1" x14ac:dyDescent="0.3">
      <c r="A66" s="4"/>
      <c r="B66" s="64"/>
      <c r="C66" s="64" t="s">
        <v>326</v>
      </c>
      <c r="D66" s="85" t="s">
        <v>327</v>
      </c>
      <c r="E66" s="86" t="s">
        <v>328</v>
      </c>
      <c r="F66" s="252">
        <f ca="1">IF(RW=0,0,ROUND(DLF*0.93*RL^LF*RSA^0.4/RW^0.325,3))</f>
        <v>0.95299999999999996</v>
      </c>
      <c r="G66" s="252" t="str">
        <f ca="1">IF(OR(FLSCR="ERROR",FLSPI="ERROR"),"No",IF(TODAY()-'Look Ups'!$D$4*365&gt;I66,"WP Applied","Yes"))</f>
        <v>Yes</v>
      </c>
      <c r="H66" s="253" t="str">
        <f>IF(SPC="","",CONCATENATE("Main-Genoa",IF(FLSCR="valid",IF(OR(CR66="Yes",MSAUSC&gt;0),"-Screacher (Upwind)","-Screacher"),""),IF(FLSPI="valid","-Spinnaker",""),IF(RSAMZ&gt;0,"-Mizzen",""),IF(RSA2M&gt;0,"-Second Main",""),IF(AS&gt;0,"-Staysail",""),IF(AD&gt;0,"-Drifter","")))</f>
        <v>Main-Genoa-Screacher-Spinnaker</v>
      </c>
      <c r="I66" s="1">
        <v>44419</v>
      </c>
      <c r="J66" s="1">
        <v>45510</v>
      </c>
      <c r="K66" s="87" t="s">
        <v>1191</v>
      </c>
      <c r="L66" s="87" t="s">
        <v>164</v>
      </c>
      <c r="M66" s="207"/>
      <c r="N66" s="88" t="s">
        <v>143</v>
      </c>
      <c r="O66" s="88" t="s">
        <v>144</v>
      </c>
      <c r="P66" s="100"/>
      <c r="Q66" s="90">
        <v>7.96</v>
      </c>
      <c r="R66" s="87"/>
      <c r="S66" s="256">
        <f>IF((LOAA&gt;LOA),0.025*LOAA,0.025*LOA)</f>
        <v>0.19900000000000001</v>
      </c>
      <c r="T66" s="117"/>
      <c r="U66" s="117">
        <v>0</v>
      </c>
      <c r="V66" s="258">
        <f>IF((_xlfn.SINGLE(LOAA)&gt;_xlfn.SINGLE(LOA)),_xlfn.SINGLE(LOAA),_xlfn.SINGLE(LOA)-_xlfn.SINGLE(FOC)-_xlfn.SINGLE(AOC))</f>
        <v>7.96</v>
      </c>
      <c r="W66" s="259">
        <f>IF(RL&gt;0,IF(RL&gt;'Look Ups'!Y$7,'Look Ups'!Y$8,('Look Ups'!Y$3*RL^3+'Look Ups'!Y$4*RL^2+'Look Ups'!Y$5*RL+'Look Ups'!Y$6)),0)</f>
        <v>0.29365758508799999</v>
      </c>
      <c r="X66" s="92">
        <v>990</v>
      </c>
      <c r="Y66" s="262">
        <f ca="1">IF(WDATE&lt;(TODAY()-'Look Ups'!$D$4*365),-WM*'Look Ups'!$D$5/100,0)</f>
        <v>0</v>
      </c>
      <c r="Z66" s="93"/>
      <c r="AA66" s="93"/>
      <c r="AB66" s="75"/>
      <c r="AC66" s="265">
        <f>WCD+NC*'Look Ups'!$AF$3</f>
        <v>0</v>
      </c>
      <c r="AD66" s="265">
        <f ca="1">IF(RL&lt;'Look Ups'!AM$3,'Look Ups'!AM$4,IF(RL&gt;'Look Ups'!AM$5,'Look Ups'!AM$6,(RL-'Look Ups'!AM$3)/('Look Ups'!AM$5-'Look Ups'!AM$3)*('Look Ups'!AM$6-'Look Ups'!AM$4)+'Look Ups'!AM$4))/100*WS</f>
        <v>251.64</v>
      </c>
      <c r="AE66" s="266">
        <f ca="1">WM+WP+WE</f>
        <v>990</v>
      </c>
      <c r="AF66" s="267">
        <f ca="1">_xlfn.SINGLE(WS)+IF(_xlfn.SINGLE(TCW)&gt;=_xlfn.SINGLE(CWA),_xlfn.SINGLE(CWA),_xlfn.SINGLE(TCW))</f>
        <v>990</v>
      </c>
      <c r="AG66" s="94" t="s">
        <v>145</v>
      </c>
      <c r="AH66" s="95" t="s">
        <v>146</v>
      </c>
      <c r="AI66" s="96" t="s">
        <v>147</v>
      </c>
      <c r="AJ66" s="218"/>
      <c r="AK66" s="273">
        <f>IF(C66="",0,VLOOKUP(AG66,'Look Ups'!$F$3:$G$6,2,0)*VLOOKUP(AH66,'Look Ups'!$I$3:$J$5,2,0)*VLOOKUP(AI66,'Look Ups'!$L$3:$M$7,2,0)*IF(AJ66="",1,VLOOKUP(AJ66,'Look Ups'!$O$3:$P$4,2,0)))</f>
        <v>1</v>
      </c>
      <c r="AL66" s="83">
        <v>10.52</v>
      </c>
      <c r="AM66" s="91">
        <v>10.28</v>
      </c>
      <c r="AN66" s="91">
        <v>3.38</v>
      </c>
      <c r="AO66" s="91">
        <v>1.1299999999999999</v>
      </c>
      <c r="AP66" s="91">
        <v>0.32</v>
      </c>
      <c r="AQ66" s="91">
        <v>10.23</v>
      </c>
      <c r="AR66" s="91">
        <v>0.17</v>
      </c>
      <c r="AS66" s="91">
        <v>3.5</v>
      </c>
      <c r="AT66" s="91">
        <v>0.12</v>
      </c>
      <c r="AU66" s="91">
        <v>0.5</v>
      </c>
      <c r="AV66" s="91" t="s">
        <v>148</v>
      </c>
      <c r="AW66" s="97"/>
      <c r="AX66" s="256">
        <f>P+ER</f>
        <v>10.35</v>
      </c>
      <c r="AY66" s="256">
        <f>P*0.375*MC</f>
        <v>1.9181250000000001</v>
      </c>
      <c r="AZ66" s="275">
        <f>IF(C66="",0,(0.5*(_ML1*LPM)+0.5*(_ML1*HB)+0.66*(P*PR)+0.66*(_ML2*RDM)+0.66*(E*ER))*VLOOKUP(BATT,'Look Ups'!$U$3:$V$4,2,0))</f>
        <v>27.318742</v>
      </c>
      <c r="BA66" s="98"/>
      <c r="BB66" s="99"/>
      <c r="BC66" s="83">
        <v>9.2799999999999994</v>
      </c>
      <c r="BD66" s="91">
        <v>3.63</v>
      </c>
      <c r="BE66" s="91">
        <v>3.23</v>
      </c>
      <c r="BF66" s="91">
        <v>0.19</v>
      </c>
      <c r="BG66" s="91">
        <v>8.14</v>
      </c>
      <c r="BH66" s="91">
        <v>8.11</v>
      </c>
      <c r="BI66" s="91">
        <v>0.13</v>
      </c>
      <c r="BJ66" s="91">
        <v>-0.1</v>
      </c>
      <c r="BK66" s="91">
        <v>0.06</v>
      </c>
      <c r="BL66" s="97"/>
      <c r="BM66" s="275">
        <f>(0.5*LL*LPG)+(0.5*_LG1*HG)+(0.66*LL*LLRG)+(0.66*FG*FRG)+(IF((HG&gt;0),(0.66*_LG2*LRG),(0.66*_LG1*LRG)))</f>
        <v>17.609570000000001</v>
      </c>
      <c r="BN66" s="282"/>
      <c r="BO66" s="283"/>
      <c r="BP66" s="284"/>
      <c r="BQ66" s="284"/>
      <c r="BR66" s="283"/>
      <c r="BS66" s="284"/>
      <c r="BT66" s="284"/>
      <c r="BU66" s="280">
        <f>(0.5*LLS*LPS)+(0.66*LLS*LLRS)+(0.66*LS*LRS)+(0.66*FS*FRS)</f>
        <v>0</v>
      </c>
      <c r="BV66" s="285"/>
      <c r="BW66" s="283"/>
      <c r="BX66" s="283"/>
      <c r="BY66" s="283"/>
      <c r="BZ66" s="283"/>
      <c r="CA66" s="283"/>
      <c r="CB66" s="283"/>
      <c r="CC66" s="275">
        <f>(0.5*LLD*LPD)+(0.66*LLD*LLRD)+(0.66*LCHD*LRD)+(0.66*FD*FRD)</f>
        <v>0</v>
      </c>
      <c r="CD66" s="98">
        <v>8</v>
      </c>
      <c r="CE66" s="91">
        <v>12.75</v>
      </c>
      <c r="CF66" s="91">
        <v>11.26</v>
      </c>
      <c r="CG66" s="91">
        <v>6.92</v>
      </c>
      <c r="CH66" s="266">
        <f>IF(SF&gt;0,SMG/SF*100,"")</f>
        <v>86.5</v>
      </c>
      <c r="CI66" s="283"/>
      <c r="CJ66" s="280">
        <f>SF*(_SL1+_SL2)/4+(SMG-SF/2)*(_SL1+_SL2)/3</f>
        <v>71.389733333333325</v>
      </c>
      <c r="CK66" s="83">
        <v>6.42</v>
      </c>
      <c r="CL66" s="91">
        <v>10.52</v>
      </c>
      <c r="CM66" s="91">
        <v>8.61</v>
      </c>
      <c r="CN66" s="91">
        <v>3.42</v>
      </c>
      <c r="CO66" s="256">
        <f>IF(SCRF&gt;0,SCRMG/SCRF*100,"")</f>
        <v>53.271028037383175</v>
      </c>
      <c r="CP66" s="283"/>
      <c r="CQ66" s="256">
        <f>SCRF*(SCRL1+SCRL2)/4+(SCRMG-SCRF/2)*(SCRL1+SCRL2)/3</f>
        <v>32.042749999999998</v>
      </c>
      <c r="CR66" s="256" t="str">
        <f>IF(CO66&lt;'Look Ups'!$AC$4,"Yes","No")</f>
        <v>No</v>
      </c>
      <c r="CS66" s="267">
        <f>IF(CR66="Yes",MIN(150,('Look Ups'!$AC$4-PSCR)/('Look Ups'!$AC$4-'Look Ups'!$AC$3)*100),0)</f>
        <v>0</v>
      </c>
      <c r="CT66" s="83"/>
      <c r="CU66" s="91"/>
      <c r="CV66" s="91"/>
      <c r="CW66" s="91"/>
      <c r="CX66" s="256" t="str">
        <f>IF(USCRF&gt;0,USCRMG/USCRF*100,"")</f>
        <v/>
      </c>
      <c r="CY66" s="293">
        <f>IF(PUSCR&lt;'Look Ups'!$AC$4,MIN(150,('Look Ups'!$AC$4-PUSCR)/('Look Ups'!$AC$4-'Look Ups'!$AC$3)*100),0)</f>
        <v>0</v>
      </c>
      <c r="CZ66" s="275">
        <f>IF(PUSCR&lt;'Look Ups'!$AC$4,USCRF*(USCRL1+USCRL2)/4+(USCRMG-USCRF/2)*(USCRL1+USCRL2)/3,0)</f>
        <v>0</v>
      </c>
      <c r="DA66" s="294">
        <f>IF(ZVAL=1,1,IF(LPM&gt;0,0.64*((AM+MAM)/(E+(MC/2))^2)^0.3,0))</f>
        <v>1</v>
      </c>
      <c r="DB66" s="256">
        <f>0.65*((AM+MAM)*EFM)+0.35*((AM+MAM)*ZVAL)</f>
        <v>29.236867000000004</v>
      </c>
      <c r="DC66" s="256">
        <f>IF(ZVAL=1,1,IF(LPG&gt;0,0.72*(AG/(LPG^2))^0.3,0))</f>
        <v>1</v>
      </c>
      <c r="DD66" s="256">
        <f>AG*EFG</f>
        <v>17.609570000000001</v>
      </c>
      <c r="DE66" s="256">
        <f>IF(AZ66&gt;0,'Look Ups'!$S$3,0)</f>
        <v>1</v>
      </c>
      <c r="DF66" s="256">
        <f>IF(LPS&gt;0,0.72*(AS/(LPS^2))^0.3,0)</f>
        <v>0</v>
      </c>
      <c r="DG66" s="256">
        <f>EFS*AS</f>
        <v>0</v>
      </c>
      <c r="DH66" s="256">
        <f>IF(LPD&gt;0,0.72*(AD/(LPD^2))^0.3,0)</f>
        <v>0</v>
      </c>
      <c r="DI66" s="280">
        <f>IF((AD-AG)&gt;0,0.3*(AD-AG)*EFD,0)</f>
        <v>0</v>
      </c>
      <c r="DJ66" s="295" t="str">
        <f>IF((SCRF=0),"-",IF(AND(MSASC&gt;AG,SCRMG&lt;(0.75*SCRF)),"valid","ERROR"))</f>
        <v>valid</v>
      </c>
      <c r="DK66" s="266" t="str">
        <f>IF((SF=0),"-",IF((SMG&lt;(0.75*SF)),"ERROR",IF(AND(MSASP&gt;MSASC,MSASP&gt;AG,MSASP&gt;=0.36*RSAM),"valid","Small")))</f>
        <v>valid</v>
      </c>
      <c r="DL66" s="267" t="str">
        <f>IF(C66="","",CONCATENATE("MG",IF(FLSCR="valid","Scr",""),IF(FLSPI="valid","SP","")))</f>
        <v>MGScrSP</v>
      </c>
      <c r="DM66" s="294">
        <f>RSAM+RSAG</f>
        <v>46.846437000000009</v>
      </c>
      <c r="DN66" s="256">
        <f>IF(MSASP&gt;0,'Look Ups'!$AI$4*(ZVAL*MSASP-RSAG),0)</f>
        <v>16.134048999999994</v>
      </c>
      <c r="DO66" s="256">
        <f>IF(AND(MSASC&gt;0,(MSASC&gt;=0.36*RSAM)),('Look Ups'!$AI$3*(ZVAL*MSASC-RSAG)),(0))</f>
        <v>5.0516129999999988</v>
      </c>
      <c r="DP66" s="256">
        <f>IF(MSASP&gt;0,'Look Ups'!$AI$5*(ZVAL*MSASP-RSAG),0)</f>
        <v>15.058445733333331</v>
      </c>
      <c r="DQ66" s="256">
        <f>IF(MSASC&gt;0,'Look Ups'!$AI$6*(MSASC-RSAG),0)</f>
        <v>1.0103225999999998</v>
      </c>
      <c r="DR66" s="280">
        <f>'Look Ups'!$AI$7*MAX(IF(MSAUSC&gt;0,EUSC/100*(MSAUSC-RSAG),0),IF(CR66="Yes",ELSC/100*(MSASC-RSAG),0))</f>
        <v>0</v>
      </c>
      <c r="DS66" s="280">
        <f>0.36*RSAM</f>
        <v>10.52527212</v>
      </c>
      <c r="DT66" s="296">
        <f>_xlfn.IFS(SPC="MG",RAMG+DS66,SPC="MGScr",RAMG+RASCO,SPC="MGSp",RAMG+RASPO,SPC="MGScrSp",RAMG+RASPSC+RASCR)+RAUSC+RSAST+RSAD+RSAMZ+RSA2M</f>
        <v>62.91520533333334</v>
      </c>
      <c r="DU66" s="27"/>
    </row>
    <row r="67" spans="1:125" ht="15.6" customHeight="1" x14ac:dyDescent="0.3">
      <c r="A67" s="4"/>
      <c r="B67" s="84"/>
      <c r="C67" s="64" t="s">
        <v>329</v>
      </c>
      <c r="D67" s="101" t="s">
        <v>330</v>
      </c>
      <c r="E67" s="86" t="s">
        <v>331</v>
      </c>
      <c r="F67" s="252">
        <f ca="1">IF(RW=0,0,ROUND(DLF*0.93*RL^LF*RSA^0.4/RW^0.325,3))</f>
        <v>0.86499999999999999</v>
      </c>
      <c r="G67" s="252" t="str">
        <f ca="1">IF(OR(FLSCR="ERROR",FLSPI="ERROR"),"No",IF(TODAY()-'Look Ups'!$D$4*365&gt;I67,"WP Applied","Yes"))</f>
        <v>Yes</v>
      </c>
      <c r="H67" s="253" t="str">
        <f>IF(SPC="","",CONCATENATE("Main-Genoa",IF(FLSCR="valid",IF(OR(CR67="Yes",MSAUSC&gt;0),"-Screacher (Upwind)","-Screacher"),""),IF(FLSPI="valid","-Spinnaker",""),IF(RSAMZ&gt;0,"-Mizzen",""),IF(RSA2M&gt;0,"-Second Main",""),IF(AS&gt;0,"-Staysail",""),IF(AD&gt;0,"-Drifter","")))</f>
        <v>Main-Genoa-Screacher (Upwind)-Spinnaker</v>
      </c>
      <c r="I67" s="1">
        <v>45311</v>
      </c>
      <c r="J67" s="1">
        <v>45314</v>
      </c>
      <c r="K67" s="87" t="s">
        <v>222</v>
      </c>
      <c r="L67" s="87" t="s">
        <v>176</v>
      </c>
      <c r="M67" s="207"/>
      <c r="N67" s="97" t="s">
        <v>143</v>
      </c>
      <c r="O67" s="97" t="s">
        <v>154</v>
      </c>
      <c r="P67" s="102"/>
      <c r="Q67" s="90">
        <v>9.4600000000000009</v>
      </c>
      <c r="R67" s="87"/>
      <c r="S67" s="256">
        <f>IF((LOAA&gt;LOA),0.025*LOAA,0.025*LOA)</f>
        <v>0.23650000000000004</v>
      </c>
      <c r="T67" s="91">
        <v>0.05</v>
      </c>
      <c r="U67" s="91">
        <v>0</v>
      </c>
      <c r="V67" s="258">
        <f>IF((_xlfn.SINGLE(LOAA)&gt;_xlfn.SINGLE(LOA)),_xlfn.SINGLE(LOAA),_xlfn.SINGLE(LOA)-_xlfn.SINGLE(FOC)-_xlfn.SINGLE(AOC))</f>
        <v>9.41</v>
      </c>
      <c r="W67" s="259">
        <f>IF(RL&gt;0,IF(RL&gt;'Look Ups'!Y$7,'Look Ups'!Y$8,('Look Ups'!Y$3*RL^3+'Look Ups'!Y$4*RL^2+'Look Ups'!Y$5*RL+'Look Ups'!Y$6)),0)</f>
        <v>0.29752450149300003</v>
      </c>
      <c r="X67" s="92">
        <v>1970</v>
      </c>
      <c r="Y67" s="262">
        <f ca="1">IF(WDATE&lt;(TODAY()-'Look Ups'!$D$4*365),-WM*'Look Ups'!$D$5/100,0)</f>
        <v>0</v>
      </c>
      <c r="Z67" s="93"/>
      <c r="AA67" s="93"/>
      <c r="AB67" s="75"/>
      <c r="AC67" s="265">
        <f>WCD+NC*'Look Ups'!$AF$3</f>
        <v>0</v>
      </c>
      <c r="AD67" s="265">
        <f ca="1">IF(RL&lt;'Look Ups'!AM$3,'Look Ups'!AM$4,IF(RL&gt;'Look Ups'!AM$5,'Look Ups'!AM$6,(RL-'Look Ups'!AM$3)/('Look Ups'!AM$5-'Look Ups'!AM$3)*('Look Ups'!AM$6-'Look Ups'!AM$4)+'Look Ups'!AM$4))/100*WS</f>
        <v>396.8654545454545</v>
      </c>
      <c r="AE67" s="266">
        <f ca="1">WM+WP+WE</f>
        <v>1970</v>
      </c>
      <c r="AF67" s="267">
        <f ca="1">_xlfn.SINGLE(WS)+IF(_xlfn.SINGLE(TCW)&gt;=_xlfn.SINGLE(CWA),_xlfn.SINGLE(CWA),_xlfn.SINGLE(TCW))</f>
        <v>1970</v>
      </c>
      <c r="AG67" s="94" t="s">
        <v>145</v>
      </c>
      <c r="AH67" s="95" t="s">
        <v>146</v>
      </c>
      <c r="AI67" s="96" t="s">
        <v>147</v>
      </c>
      <c r="AJ67" s="218"/>
      <c r="AK67" s="273">
        <f>IF(C67="",0,VLOOKUP(AG67,'Look Ups'!$F$3:$G$6,2,0)*VLOOKUP(AH67,'Look Ups'!$I$3:$J$5,2,0)*VLOOKUP(AI67,'Look Ups'!$L$3:$M$7,2,0)*IF(AJ67="",1,VLOOKUP(AJ67,'Look Ups'!$O$3:$P$4,2,0)))</f>
        <v>1</v>
      </c>
      <c r="AL67" s="83">
        <v>11.56</v>
      </c>
      <c r="AM67" s="91">
        <v>11.2</v>
      </c>
      <c r="AN67" s="91">
        <v>3.82</v>
      </c>
      <c r="AO67" s="91">
        <v>1.53</v>
      </c>
      <c r="AP67" s="91">
        <v>0.3</v>
      </c>
      <c r="AQ67" s="91">
        <v>10.98</v>
      </c>
      <c r="AR67" s="91">
        <v>0.11</v>
      </c>
      <c r="AS67" s="91">
        <v>4.0199999999999996</v>
      </c>
      <c r="AT67" s="91">
        <v>0</v>
      </c>
      <c r="AU67" s="91">
        <v>0</v>
      </c>
      <c r="AV67" s="91" t="s">
        <v>148</v>
      </c>
      <c r="AW67" s="97" t="s">
        <v>332</v>
      </c>
      <c r="AX67" s="256">
        <f>P+ER</f>
        <v>10.98</v>
      </c>
      <c r="AY67" s="256">
        <f>P*0.375*MC</f>
        <v>0</v>
      </c>
      <c r="AZ67" s="275">
        <f>IF(C67="",0,(0.5*(_ML1*LPM)+0.5*(_ML1*HB)+0.66*(P*PR)+0.66*(_ML2*RDM)+0.66*(E*ER))*VLOOKUP(BATT,'Look Ups'!$U$3:$V$4,2,0))</f>
        <v>33.937747999999999</v>
      </c>
      <c r="BA67" s="98"/>
      <c r="BB67" s="99"/>
      <c r="BC67" s="83">
        <v>11.08</v>
      </c>
      <c r="BD67" s="91">
        <v>3.42</v>
      </c>
      <c r="BE67" s="91">
        <v>3.69</v>
      </c>
      <c r="BF67" s="91">
        <v>0.18</v>
      </c>
      <c r="BG67" s="91">
        <v>9.9600000000000009</v>
      </c>
      <c r="BH67" s="91"/>
      <c r="BI67" s="91"/>
      <c r="BJ67" s="91">
        <v>0</v>
      </c>
      <c r="BK67" s="91">
        <v>0.12</v>
      </c>
      <c r="BL67" s="97" t="s">
        <v>333</v>
      </c>
      <c r="BM67" s="275">
        <f>(0.5*LL*LPG)+(0.5*_LG1*HG)+(0.66*LL*LLRG)+(0.66*FG*FRG)+(IF((HG&gt;0),(0.66*_LG2*LRG),(0.66*_LG1*LRG)))</f>
        <v>20.262708</v>
      </c>
      <c r="BN67" s="282"/>
      <c r="BO67" s="283"/>
      <c r="BP67" s="284"/>
      <c r="BQ67" s="284"/>
      <c r="BR67" s="283"/>
      <c r="BS67" s="284"/>
      <c r="BT67" s="284"/>
      <c r="BU67" s="280">
        <f>(0.5*LLS*LPS)+(0.66*LLS*LLRS)+(0.66*LS*LRS)+(0.66*FS*FRS)</f>
        <v>0</v>
      </c>
      <c r="BV67" s="285"/>
      <c r="BW67" s="283"/>
      <c r="BX67" s="283"/>
      <c r="BY67" s="283"/>
      <c r="BZ67" s="283"/>
      <c r="CA67" s="283"/>
      <c r="CB67" s="283"/>
      <c r="CC67" s="275">
        <f>(0.5*LLD*LPD)+(0.66*LLD*LLRD)+(0.66*LCHD*LRD)+(0.66*FD*FRD)</f>
        <v>0</v>
      </c>
      <c r="CD67" s="98">
        <v>9.25</v>
      </c>
      <c r="CE67" s="91">
        <v>13.83</v>
      </c>
      <c r="CF67" s="91">
        <v>12.03</v>
      </c>
      <c r="CG67" s="91">
        <v>7.8</v>
      </c>
      <c r="CH67" s="266">
        <f>IF(SF&gt;0,SMG/SF*100,"")</f>
        <v>84.324324324324323</v>
      </c>
      <c r="CI67" s="283"/>
      <c r="CJ67" s="280">
        <f>SF*(_SL1+_SL2)/4+(SMG-SF/2)*(_SL1+_SL2)/3</f>
        <v>87.169749999999993</v>
      </c>
      <c r="CK67" s="83">
        <v>5.93</v>
      </c>
      <c r="CL67" s="91">
        <v>11.36</v>
      </c>
      <c r="CM67" s="91">
        <v>9.77</v>
      </c>
      <c r="CN67" s="91">
        <v>2.97</v>
      </c>
      <c r="CO67" s="256">
        <f>IF(SCRF&gt;0,SCRMG/SCRF*100,"")</f>
        <v>50.084317032040481</v>
      </c>
      <c r="CP67" s="286"/>
      <c r="CQ67" s="256">
        <f>SCRF*(SCRL1+SCRL2)/4+(SCRMG-SCRF/2)*(SCRL1+SCRL2)/3</f>
        <v>31.360441666666667</v>
      </c>
      <c r="CR67" s="256" t="str">
        <f>IF(CO67&lt;'Look Ups'!$AC$4,"Yes","No")</f>
        <v>Yes</v>
      </c>
      <c r="CS67" s="267">
        <f>IF(CR67="Yes",MIN(150,('Look Ups'!$AC$4-PSCR)/('Look Ups'!$AC$4-'Look Ups'!$AC$3)*100),0)</f>
        <v>38.313659359190382</v>
      </c>
      <c r="CT67" s="83"/>
      <c r="CU67" s="91"/>
      <c r="CV67" s="91"/>
      <c r="CW67" s="91"/>
      <c r="CX67" s="256" t="str">
        <f>IF(USCRF&gt;0,USCRMG/USCRF*100,"")</f>
        <v/>
      </c>
      <c r="CY67" s="293">
        <f>IF(PUSCR&lt;'Look Ups'!$AC$4,MIN(150,('Look Ups'!$AC$4-PUSCR)/('Look Ups'!$AC$4-'Look Ups'!$AC$3)*100),0)</f>
        <v>0</v>
      </c>
      <c r="CZ67" s="275">
        <f>IF(PUSCR&lt;'Look Ups'!$AC$4,USCRF*(USCRL1+USCRL2)/4+(USCRMG-USCRF/2)*(USCRL1+USCRL2)/3,0)</f>
        <v>0</v>
      </c>
      <c r="DA67" s="294">
        <f>IF(ZVAL=1,1,IF(LPM&gt;0,0.64*((AM+MAM)/(E+(MC/2))^2)^0.3,0))</f>
        <v>1</v>
      </c>
      <c r="DB67" s="256">
        <f>0.65*((AM+MAM)*EFM)+0.35*((AM+MAM)*ZVAL)</f>
        <v>33.937747999999999</v>
      </c>
      <c r="DC67" s="256">
        <f>IF(ZVAL=1,1,IF(LPG&gt;0,0.72*(AG/(LPG^2))^0.3,0))</f>
        <v>1</v>
      </c>
      <c r="DD67" s="256">
        <f>AG*EFG</f>
        <v>20.262708</v>
      </c>
      <c r="DE67" s="256">
        <f>IF(AZ67&gt;0,'Look Ups'!$S$3,0)</f>
        <v>1</v>
      </c>
      <c r="DF67" s="256">
        <f>IF(LPS&gt;0,0.72*(AS/(LPS^2))^0.3,0)</f>
        <v>0</v>
      </c>
      <c r="DG67" s="256">
        <f>EFS*AS</f>
        <v>0</v>
      </c>
      <c r="DH67" s="256">
        <f>IF(LPD&gt;0,0.72*(AD/(LPD^2))^0.3,0)</f>
        <v>0</v>
      </c>
      <c r="DI67" s="280">
        <f>IF((AD-AG)&gt;0,0.3*(AD-AG)*EFD,0)</f>
        <v>0</v>
      </c>
      <c r="DJ67" s="295" t="str">
        <f>IF((SCRF=0),"-",IF(AND(MSASC&gt;AG,SCRMG&lt;(0.75*SCRF)),"valid","ERROR"))</f>
        <v>valid</v>
      </c>
      <c r="DK67" s="266" t="str">
        <f>IF((SF=0),"-",IF((SMG&lt;(0.75*SF)),"ERROR",IF(AND(MSASP&gt;MSASC,MSASP&gt;AG,MSASP&gt;=0.36*RSAM),"valid","Small")))</f>
        <v>valid</v>
      </c>
      <c r="DL67" s="267" t="str">
        <f>IF(C67="","",CONCATENATE("MG",IF(FLSCR="valid","Scr",""),IF(FLSPI="valid","SP","")))</f>
        <v>MGScrSP</v>
      </c>
      <c r="DM67" s="294">
        <f>RSAM+RSAG</f>
        <v>54.200456000000003</v>
      </c>
      <c r="DN67" s="256">
        <f>IF(MSASP&gt;0,'Look Ups'!$AI$4*(ZVAL*MSASP-RSAG),0)</f>
        <v>20.072112599999997</v>
      </c>
      <c r="DO67" s="256">
        <f>IF(AND(MSASC&gt;0,(MSASC&gt;=0.36*RSAM)),('Look Ups'!$AI$3*(ZVAL*MSASC-RSAG)),(0))</f>
        <v>3.8842067833333331</v>
      </c>
      <c r="DP67" s="256">
        <f>IF(MSASP&gt;0,'Look Ups'!$AI$5*(ZVAL*MSASP-RSAG),0)</f>
        <v>18.733971759999999</v>
      </c>
      <c r="DQ67" s="256">
        <f>IF(MSASC&gt;0,'Look Ups'!$AI$6*(MSASC-RSAG),0)</f>
        <v>0.77684135666666676</v>
      </c>
      <c r="DR67" s="280">
        <f>'Look Ups'!$AI$7*MAX(IF(MSAUSC&gt;0,EUSC/100*(MSAUSC-RSAG),0),IF(CR67="Yes",ELSC/100*(MSASC-RSAG),0))</f>
        <v>1.0629869684092139</v>
      </c>
      <c r="DS67" s="280">
        <f>0.36*RSAM</f>
        <v>12.217589279999999</v>
      </c>
      <c r="DT67" s="296">
        <f>_xlfn.IFS(SPC="MG",RAMG+DS67,SPC="MGScr",RAMG+RASCO,SPC="MGSp",RAMG+RASPO,SPC="MGScrSp",RAMG+RASPSC+RASCR)+RAUSC+RSAST+RSAD+RSAMZ+RSA2M</f>
        <v>74.774256085075891</v>
      </c>
      <c r="DU67" s="27"/>
    </row>
    <row r="68" spans="1:125" ht="15.6" customHeight="1" x14ac:dyDescent="0.3">
      <c r="A68" s="4"/>
      <c r="B68" s="84"/>
      <c r="C68" s="64" t="s">
        <v>334</v>
      </c>
      <c r="D68" s="101" t="s">
        <v>335</v>
      </c>
      <c r="E68" s="86" t="s">
        <v>336</v>
      </c>
      <c r="F68" s="252">
        <f ca="1">IF(RW=0,0,ROUND(DLF*0.93*RL^LF*RSA^0.4/RW^0.325,3))</f>
        <v>0.79600000000000004</v>
      </c>
      <c r="G68" s="252" t="str">
        <f ca="1">IF(OR(FLSCR="ERROR",FLSPI="ERROR"),"No",IF(TODAY()-'Look Ups'!$D$4*365&gt;I68,"WP Applied","Yes"))</f>
        <v>Yes</v>
      </c>
      <c r="H68" s="253" t="str">
        <f>IF(SPC="","",CONCATENATE("Main-Genoa",IF(FLSCR="valid",IF(OR(CR68="Yes",MSAUSC&gt;0),"-Screacher (Upwind)","-Screacher"),""),IF(FLSPI="valid","-Spinnaker",""),IF(RSAMZ&gt;0,"-Mizzen",""),IF(RSA2M&gt;0,"-Second Main",""),IF(AS&gt;0,"-Staysail",""),IF(AD&gt;0,"-Drifter","")))</f>
        <v>Main-Genoa-Screacher-Spinnaker</v>
      </c>
      <c r="I68" s="1">
        <v>42480</v>
      </c>
      <c r="J68" s="1">
        <v>42672</v>
      </c>
      <c r="K68" s="87" t="s">
        <v>206</v>
      </c>
      <c r="L68" s="87" t="s">
        <v>142</v>
      </c>
      <c r="M68" s="207"/>
      <c r="N68" s="97" t="s">
        <v>143</v>
      </c>
      <c r="O68" s="97" t="s">
        <v>154</v>
      </c>
      <c r="P68" s="102"/>
      <c r="Q68" s="90">
        <v>8.74</v>
      </c>
      <c r="R68" s="87"/>
      <c r="S68" s="256">
        <f>IF((LOAA&gt;LOA),0.025*LOAA,0.025*LOA)</f>
        <v>0.21850000000000003</v>
      </c>
      <c r="T68" s="91">
        <v>0.23</v>
      </c>
      <c r="U68" s="91">
        <v>0</v>
      </c>
      <c r="V68" s="258">
        <f>IF((_xlfn.SINGLE(LOAA)&gt;_xlfn.SINGLE(LOA)),_xlfn.SINGLE(LOAA),_xlfn.SINGLE(LOA)-_xlfn.SINGLE(FOC)-_xlfn.SINGLE(AOC))</f>
        <v>8.51</v>
      </c>
      <c r="W68" s="259">
        <f>IF(RL&gt;0,IF(RL&gt;'Look Ups'!Y$7,'Look Ups'!Y$8,('Look Ups'!Y$3*RL^3+'Look Ups'!Y$4*RL^2+'Look Ups'!Y$5*RL+'Look Ups'!Y$6)),0)</f>
        <v>0.29539459668300005</v>
      </c>
      <c r="X68" s="92">
        <v>1860</v>
      </c>
      <c r="Y68" s="262">
        <f ca="1">IF(WDATE&lt;(TODAY()-'Look Ups'!$D$4*365),-WM*'Look Ups'!$D$5/100,0)</f>
        <v>0</v>
      </c>
      <c r="Z68" s="93"/>
      <c r="AA68" s="93"/>
      <c r="AB68" s="75"/>
      <c r="AC68" s="265">
        <f>WCD+NC*'Look Ups'!$AF$3</f>
        <v>0</v>
      </c>
      <c r="AD68" s="265">
        <f ca="1">IF(RL&lt;'Look Ups'!AM$3,'Look Ups'!AM$4,IF(RL&gt;'Look Ups'!AM$5,'Look Ups'!AM$6,(RL-'Look Ups'!AM$3)/('Look Ups'!AM$5-'Look Ups'!AM$3)*('Look Ups'!AM$6-'Look Ups'!AM$4)+'Look Ups'!AM$4))/100*WS</f>
        <v>435.5781818181818</v>
      </c>
      <c r="AE68" s="266">
        <f ca="1">WM+WP+WE</f>
        <v>1860</v>
      </c>
      <c r="AF68" s="267">
        <f ca="1">_xlfn.SINGLE(WS)+IF(_xlfn.SINGLE(TCW)&gt;=_xlfn.SINGLE(CWA),_xlfn.SINGLE(CWA),_xlfn.SINGLE(TCW))</f>
        <v>1860</v>
      </c>
      <c r="AG68" s="94" t="s">
        <v>145</v>
      </c>
      <c r="AH68" s="95" t="s">
        <v>146</v>
      </c>
      <c r="AI68" s="96" t="s">
        <v>147</v>
      </c>
      <c r="AJ68" s="218"/>
      <c r="AK68" s="273">
        <f>IF(C68="",0,VLOOKUP(AG68,'Look Ups'!$F$3:$G$6,2,0)*VLOOKUP(AH68,'Look Ups'!$I$3:$J$5,2,0)*VLOOKUP(AI68,'Look Ups'!$L$3:$M$7,2,0)*IF(AJ68="",1,VLOOKUP(AJ68,'Look Ups'!$O$3:$P$4,2,0)))</f>
        <v>1</v>
      </c>
      <c r="AL68" s="83">
        <v>11.2</v>
      </c>
      <c r="AM68" s="91">
        <v>10.89</v>
      </c>
      <c r="AN68" s="91">
        <v>3.38</v>
      </c>
      <c r="AO68" s="91">
        <v>1.49</v>
      </c>
      <c r="AP68" s="91">
        <v>0.22</v>
      </c>
      <c r="AQ68" s="91">
        <v>10.83</v>
      </c>
      <c r="AR68" s="91">
        <v>0.12</v>
      </c>
      <c r="AS68" s="91">
        <v>3.5</v>
      </c>
      <c r="AT68" s="91"/>
      <c r="AU68" s="91">
        <v>0.49</v>
      </c>
      <c r="AV68" s="91" t="s">
        <v>148</v>
      </c>
      <c r="AW68" s="97">
        <v>28</v>
      </c>
      <c r="AX68" s="256">
        <f>P+ER</f>
        <v>10.83</v>
      </c>
      <c r="AY68" s="256">
        <f>P*0.375*MC</f>
        <v>1.9900125000000002</v>
      </c>
      <c r="AZ68" s="275">
        <f>IF(C68="",0,(0.5*(_ML1*LPM)+0.5*(_ML1*HB)+0.66*(P*PR)+0.66*(_ML2*RDM)+0.66*(E*ER))*VLOOKUP(BATT,'Look Ups'!$U$3:$V$4,2,0))</f>
        <v>29.710963999999997</v>
      </c>
      <c r="BA68" s="98"/>
      <c r="BB68" s="99"/>
      <c r="BC68" s="83">
        <v>8.91</v>
      </c>
      <c r="BD68" s="91">
        <v>3.32</v>
      </c>
      <c r="BE68" s="91">
        <v>3.59</v>
      </c>
      <c r="BF68" s="91">
        <v>0.18</v>
      </c>
      <c r="BG68" s="91">
        <v>8.11</v>
      </c>
      <c r="BH68" s="91"/>
      <c r="BI68" s="91"/>
      <c r="BJ68" s="91">
        <v>-0.05</v>
      </c>
      <c r="BK68" s="91">
        <v>7.0000000000000007E-2</v>
      </c>
      <c r="BL68" s="97"/>
      <c r="BM68" s="275">
        <f>(0.5*LL*LPG)+(0.5*_LG1*HG)+(0.66*LL*LLRG)+(0.66*FG*FRG)+(IF((HG&gt;0),(0.66*_LG2*LRG),(0.66*_LG1*LRG)))</f>
        <v>15.361103999999999</v>
      </c>
      <c r="BN68" s="282"/>
      <c r="BO68" s="283"/>
      <c r="BP68" s="284"/>
      <c r="BQ68" s="284"/>
      <c r="BR68" s="283"/>
      <c r="BS68" s="284"/>
      <c r="BT68" s="284"/>
      <c r="BU68" s="280">
        <f>(0.5*LLS*LPS)+(0.66*LLS*LLRS)+(0.66*LS*LRS)+(0.66*FS*FRS)</f>
        <v>0</v>
      </c>
      <c r="BV68" s="285"/>
      <c r="BW68" s="283"/>
      <c r="BX68" s="283"/>
      <c r="BY68" s="283"/>
      <c r="BZ68" s="283"/>
      <c r="CA68" s="283"/>
      <c r="CB68" s="283"/>
      <c r="CC68" s="275">
        <f>(0.5*LLD*LPD)+(0.66*LLD*LLRD)+(0.66*LCHD*LRD)+(0.66*FD*FRD)</f>
        <v>0</v>
      </c>
      <c r="CD68" s="98">
        <v>8.27</v>
      </c>
      <c r="CE68" s="91">
        <v>12.34</v>
      </c>
      <c r="CF68" s="91">
        <v>11.34</v>
      </c>
      <c r="CG68" s="91">
        <v>6.53</v>
      </c>
      <c r="CH68" s="266">
        <f>IF(SF&gt;0,SMG/SF*100,"")</f>
        <v>78.960096735187435</v>
      </c>
      <c r="CI68" s="283"/>
      <c r="CJ68" s="280">
        <f>SF*(_SL1+_SL2)/4+(SMG-SF/2)*(_SL1+_SL2)/3</f>
        <v>67.862933333333331</v>
      </c>
      <c r="CK68" s="83">
        <v>7.01</v>
      </c>
      <c r="CL68" s="91">
        <v>10.4</v>
      </c>
      <c r="CM68" s="91">
        <v>8.7100000000000009</v>
      </c>
      <c r="CN68" s="91">
        <v>3.76</v>
      </c>
      <c r="CO68" s="256">
        <f>IF(SCRF&gt;0,SCRMG/SCRF*100,"")</f>
        <v>53.637660485021399</v>
      </c>
      <c r="CP68" s="286"/>
      <c r="CQ68" s="256">
        <f>SCRF*(SCRL1+SCRL2)/4+(SCRMG-SCRF/2)*(SCRL1+SCRL2)/3</f>
        <v>35.114624999999997</v>
      </c>
      <c r="CR68" s="256" t="str">
        <f>IF(CO68&lt;'Look Ups'!$AC$4,"Yes","No")</f>
        <v>No</v>
      </c>
      <c r="CS68" s="267">
        <f>IF(CR68="Yes",MIN(150,('Look Ups'!$AC$4-PSCR)/('Look Ups'!$AC$4-'Look Ups'!$AC$3)*100),0)</f>
        <v>0</v>
      </c>
      <c r="CT68" s="83"/>
      <c r="CU68" s="91"/>
      <c r="CV68" s="91"/>
      <c r="CW68" s="91"/>
      <c r="CX68" s="256" t="str">
        <f>IF(USCRF&gt;0,USCRMG/USCRF*100,"")</f>
        <v/>
      </c>
      <c r="CY68" s="293">
        <f>IF(PUSCR&lt;'Look Ups'!$AC$4,MIN(150,('Look Ups'!$AC$4-PUSCR)/('Look Ups'!$AC$4-'Look Ups'!$AC$3)*100),0)</f>
        <v>0</v>
      </c>
      <c r="CZ68" s="275">
        <f>IF(PUSCR&lt;'Look Ups'!$AC$4,USCRF*(USCRL1+USCRL2)/4+(USCRMG-USCRF/2)*(USCRL1+USCRL2)/3,0)</f>
        <v>0</v>
      </c>
      <c r="DA68" s="294">
        <f>IF(ZVAL=1,1,IF(LPM&gt;0,0.64*((AM+MAM)/(E+(MC/2))^2)^0.3,0))</f>
        <v>1</v>
      </c>
      <c r="DB68" s="256">
        <f>0.65*((AM+MAM)*EFM)+0.35*((AM+MAM)*ZVAL)</f>
        <v>31.700976499999996</v>
      </c>
      <c r="DC68" s="256">
        <f>IF(ZVAL=1,1,IF(LPG&gt;0,0.72*(AG/(LPG^2))^0.3,0))</f>
        <v>1</v>
      </c>
      <c r="DD68" s="256">
        <f>AG*EFG</f>
        <v>15.361103999999999</v>
      </c>
      <c r="DE68" s="256">
        <f>IF(AZ68&gt;0,'Look Ups'!$S$3,0)</f>
        <v>1</v>
      </c>
      <c r="DF68" s="256">
        <f>IF(LPS&gt;0,0.72*(AS/(LPS^2))^0.3,0)</f>
        <v>0</v>
      </c>
      <c r="DG68" s="256">
        <f>EFS*AS</f>
        <v>0</v>
      </c>
      <c r="DH68" s="256">
        <f>IF(LPD&gt;0,0.72*(AD/(LPD^2))^0.3,0)</f>
        <v>0</v>
      </c>
      <c r="DI68" s="280">
        <f>IF((AD-AG)&gt;0,0.3*(AD-AG)*EFD,0)</f>
        <v>0</v>
      </c>
      <c r="DJ68" s="295" t="str">
        <f>IF((SCRF=0),"-",IF(AND(MSASC&gt;AG,SCRMG&lt;(0.75*SCRF)),"valid","ERROR"))</f>
        <v>valid</v>
      </c>
      <c r="DK68" s="266" t="str">
        <f>IF((SF=0),"-",IF((SMG&lt;(0.75*SF)),"ERROR",IF(AND(MSASP&gt;MSASC,MSASP&gt;AG,MSASP&gt;=0.36*RSAM),"valid","Small")))</f>
        <v>valid</v>
      </c>
      <c r="DL68" s="267" t="str">
        <f>IF(C68="","",CONCATENATE("MG",IF(FLSCR="valid","Scr",""),IF(FLSPI="valid","SP","")))</f>
        <v>MGScrSP</v>
      </c>
      <c r="DM68" s="294">
        <f>RSAM+RSAG</f>
        <v>47.062080499999993</v>
      </c>
      <c r="DN68" s="256">
        <f>IF(MSASP&gt;0,'Look Ups'!$AI$4*(ZVAL*MSASP-RSAG),0)</f>
        <v>15.750548799999999</v>
      </c>
      <c r="DO68" s="256">
        <f>IF(AND(MSASC&gt;0,(MSASC&gt;=0.36*RSAM)),('Look Ups'!$AI$3*(ZVAL*MSASC-RSAG)),(0))</f>
        <v>6.9137323499999992</v>
      </c>
      <c r="DP68" s="256">
        <f>IF(MSASP&gt;0,'Look Ups'!$AI$5*(ZVAL*MSASP-RSAG),0)</f>
        <v>14.700512213333335</v>
      </c>
      <c r="DQ68" s="256">
        <f>IF(MSASC&gt;0,'Look Ups'!$AI$6*(MSASC-RSAG),0)</f>
        <v>1.3827464700000001</v>
      </c>
      <c r="DR68" s="280">
        <f>'Look Ups'!$AI$7*MAX(IF(MSAUSC&gt;0,EUSC/100*(MSAUSC-RSAG),0),IF(CR68="Yes",ELSC/100*(MSASC-RSAG),0))</f>
        <v>0</v>
      </c>
      <c r="DS68" s="280">
        <f>0.36*RSAM</f>
        <v>11.412351539999998</v>
      </c>
      <c r="DT68" s="296">
        <f>_xlfn.IFS(SPC="MG",RAMG+DS68,SPC="MGScr",RAMG+RASCO,SPC="MGSp",RAMG+RASPO,SPC="MGScrSp",RAMG+RASPSC+RASCR)+RAUSC+RSAST+RSAD+RSAMZ+RSA2M</f>
        <v>63.145339183333327</v>
      </c>
      <c r="DU68" s="27"/>
    </row>
    <row r="69" spans="1:125" ht="15.6" customHeight="1" x14ac:dyDescent="0.3">
      <c r="A69" s="4"/>
      <c r="B69" s="84"/>
      <c r="C69" s="64" t="s">
        <v>337</v>
      </c>
      <c r="D69" s="85" t="s">
        <v>338</v>
      </c>
      <c r="E69" s="86" t="s">
        <v>339</v>
      </c>
      <c r="F69" s="252">
        <f ca="1">IF(RW=0,0,ROUND(DLF*0.93*RL^LF*RSA^0.4/RW^0.325,3))</f>
        <v>0.85099999999999998</v>
      </c>
      <c r="G69" s="252" t="str">
        <f ca="1">IF(OR(FLSCR="ERROR",FLSPI="ERROR"),"No",IF(TODAY()-'Look Ups'!$D$4*365&gt;I69,"WP Applied","Yes"))</f>
        <v>Yes</v>
      </c>
      <c r="H69" s="253" t="str">
        <f>IF(SPC="","",CONCATENATE("Main-Genoa",IF(FLSCR="valid",IF(OR(CR69="Yes",MSAUSC&gt;0),"-Screacher (Upwind)","-Screacher"),""),IF(FLSPI="valid","-Spinnaker",""),IF(RSAMZ&gt;0,"-Mizzen",""),IF(RSA2M&gt;0,"-Second Main",""),IF(AS&gt;0,"-Staysail",""),IF(AD&gt;0,"-Drifter","")))</f>
        <v>Main-Genoa-Screacher-Spinnaker</v>
      </c>
      <c r="I69" s="1">
        <v>43007</v>
      </c>
      <c r="J69" s="1">
        <v>42837</v>
      </c>
      <c r="K69" s="87" t="s">
        <v>169</v>
      </c>
      <c r="L69" s="87" t="s">
        <v>142</v>
      </c>
      <c r="M69" s="207"/>
      <c r="N69" s="97" t="s">
        <v>143</v>
      </c>
      <c r="O69" s="97"/>
      <c r="P69" s="102"/>
      <c r="Q69" s="90">
        <v>10.97</v>
      </c>
      <c r="R69" s="87"/>
      <c r="S69" s="256">
        <f>IF((LOAA&gt;LOA),0.025*LOAA,0.025*LOA)</f>
        <v>0.27425000000000005</v>
      </c>
      <c r="T69" s="91">
        <v>0.35</v>
      </c>
      <c r="U69" s="91">
        <v>0</v>
      </c>
      <c r="V69" s="258">
        <f>IF((_xlfn.SINGLE(LOAA)&gt;_xlfn.SINGLE(LOA)),_xlfn.SINGLE(LOAA),_xlfn.SINGLE(LOA)-_xlfn.SINGLE(FOC)-_xlfn.SINGLE(AOC))</f>
        <v>10.620000000000001</v>
      </c>
      <c r="W69" s="259">
        <f>IF(RL&gt;0,IF(RL&gt;'Look Ups'!Y$7,'Look Ups'!Y$8,('Look Ups'!Y$3*RL^3+'Look Ups'!Y$4*RL^2+'Look Ups'!Y$5*RL+'Look Ups'!Y$6)),0)</f>
        <v>0.29921826082400005</v>
      </c>
      <c r="X69" s="92">
        <f>2845-27</f>
        <v>2818</v>
      </c>
      <c r="Y69" s="262">
        <f ca="1">IF(WDATE&lt;(TODAY()-'Look Ups'!$D$4*365),-WM*'Look Ups'!$D$5/100,0)</f>
        <v>0</v>
      </c>
      <c r="Z69" s="93"/>
      <c r="AA69" s="225"/>
      <c r="AB69" s="226"/>
      <c r="AC69" s="265">
        <f>WCD+NC*'Look Ups'!$AF$3</f>
        <v>0</v>
      </c>
      <c r="AD69" s="265">
        <f ca="1">IF(RL&lt;'Look Ups'!AM$3,'Look Ups'!AM$4,IF(RL&gt;'Look Ups'!AM$5,'Look Ups'!AM$6,(RL-'Look Ups'!AM$3)/('Look Ups'!AM$5-'Look Ups'!AM$3)*('Look Ups'!AM$6-'Look Ups'!AM$4)+'Look Ups'!AM$4))/100*WS</f>
        <v>443.70690909090894</v>
      </c>
      <c r="AE69" s="266">
        <f ca="1">WM+WP+WE</f>
        <v>2818</v>
      </c>
      <c r="AF69" s="267">
        <f ca="1">_xlfn.SINGLE(WS)+IF(_xlfn.SINGLE(TCW)&gt;=_xlfn.SINGLE(CWA),_xlfn.SINGLE(CWA),_xlfn.SINGLE(TCW))</f>
        <v>2818</v>
      </c>
      <c r="AG69" s="94" t="s">
        <v>145</v>
      </c>
      <c r="AH69" s="95" t="s">
        <v>146</v>
      </c>
      <c r="AI69" s="96" t="s">
        <v>147</v>
      </c>
      <c r="AJ69" s="218"/>
      <c r="AK69" s="273">
        <f>IF(C69="",0,VLOOKUP(AG69,'Look Ups'!$F$3:$G$6,2,0)*VLOOKUP(AH69,'Look Ups'!$I$3:$J$5,2,0)*VLOOKUP(AI69,'Look Ups'!$L$3:$M$7,2,0)*IF(AJ69="",1,VLOOKUP(AJ69,'Look Ups'!$O$3:$P$4,2,0)))</f>
        <v>1</v>
      </c>
      <c r="AL69" s="83">
        <v>13.43</v>
      </c>
      <c r="AM69" s="91">
        <v>13.2</v>
      </c>
      <c r="AN69" s="91">
        <v>3.84</v>
      </c>
      <c r="AO69" s="91">
        <v>1.2949999999999999</v>
      </c>
      <c r="AP69" s="91">
        <v>0.4</v>
      </c>
      <c r="AQ69" s="91">
        <v>12.73</v>
      </c>
      <c r="AR69" s="91">
        <v>0.14000000000000001</v>
      </c>
      <c r="AS69" s="91">
        <v>4.05</v>
      </c>
      <c r="AT69" s="91">
        <v>0</v>
      </c>
      <c r="AU69" s="91">
        <v>0</v>
      </c>
      <c r="AV69" s="91" t="s">
        <v>148</v>
      </c>
      <c r="AW69" s="97" t="s">
        <v>340</v>
      </c>
      <c r="AX69" s="256">
        <f>P+ER</f>
        <v>12.73</v>
      </c>
      <c r="AY69" s="256">
        <f>P*0.375*MC</f>
        <v>0</v>
      </c>
      <c r="AZ69" s="275">
        <f>IF(C69="",0,(0.5*(_ML1*LPM)+0.5*(_ML1*HB)+0.66*(P*PR)+0.66*(_ML2*RDM)+0.66*(E*ER))*VLOOKUP(BATT,'Look Ups'!$U$3:$V$4,2,0))</f>
        <v>39.142576999999996</v>
      </c>
      <c r="BA69" s="98"/>
      <c r="BB69" s="99"/>
      <c r="BC69" s="83">
        <v>11</v>
      </c>
      <c r="BD69" s="91">
        <v>3.95</v>
      </c>
      <c r="BE69" s="91">
        <v>4.5</v>
      </c>
      <c r="BF69" s="91">
        <v>0.105</v>
      </c>
      <c r="BG69" s="91">
        <v>9.65</v>
      </c>
      <c r="BH69" s="91">
        <v>9.65</v>
      </c>
      <c r="BI69" s="91"/>
      <c r="BJ69" s="91">
        <v>-0.05</v>
      </c>
      <c r="BK69" s="91">
        <v>0.08</v>
      </c>
      <c r="BL69" s="97" t="s">
        <v>340</v>
      </c>
      <c r="BM69" s="275">
        <f>(0.5*LL*LPG)+(0.5*_LG1*HG)+(0.66*LL*LLRG)+(0.66*FG*FRG)+(IF((HG&gt;0),(0.66*_LG2*LRG),(0.66*_LG1*LRG)))</f>
        <v>22.299200000000003</v>
      </c>
      <c r="BN69" s="282"/>
      <c r="BO69" s="283"/>
      <c r="BP69" s="284"/>
      <c r="BQ69" s="284"/>
      <c r="BR69" s="283"/>
      <c r="BS69" s="284"/>
      <c r="BT69" s="284"/>
      <c r="BU69" s="280">
        <f>(0.5*LLS*LPS)+(0.66*LLS*LLRS)+(0.66*LS*LRS)+(0.66*FS*FRS)</f>
        <v>0</v>
      </c>
      <c r="BV69" s="285"/>
      <c r="BW69" s="283"/>
      <c r="BX69" s="283"/>
      <c r="BY69" s="283"/>
      <c r="BZ69" s="283"/>
      <c r="CA69" s="283"/>
      <c r="CB69" s="283"/>
      <c r="CC69" s="275">
        <f>(0.5*LLD*LPD)+(0.66*LLD*LLRD)+(0.66*LCHD*LRD)+(0.66*FD*FRD)</f>
        <v>0</v>
      </c>
      <c r="CD69" s="98">
        <v>8.5250000000000004</v>
      </c>
      <c r="CE69" s="91">
        <v>16.8</v>
      </c>
      <c r="CF69" s="91">
        <v>13.8</v>
      </c>
      <c r="CG69" s="91">
        <v>8.25</v>
      </c>
      <c r="CH69" s="266">
        <f>IF(SF&gt;0,SMG/SF*100,"")</f>
        <v>96.774193548387089</v>
      </c>
      <c r="CI69" s="283"/>
      <c r="CJ69" s="280">
        <f>SF*(_SL1+_SL2)/4+(SMG-SF/2)*(_SL1+_SL2)/3</f>
        <v>105.88875</v>
      </c>
      <c r="CK69" s="83">
        <v>8.1999999999999993</v>
      </c>
      <c r="CL69" s="91">
        <v>13</v>
      </c>
      <c r="CM69" s="91">
        <v>9.9499999999999993</v>
      </c>
      <c r="CN69" s="91">
        <v>4.76</v>
      </c>
      <c r="CO69" s="256">
        <f>IF(SCRF&gt;0,SCRMG/SCRF*100,"")</f>
        <v>58.048780487804883</v>
      </c>
      <c r="CP69" s="286"/>
      <c r="CQ69" s="256">
        <f>SCRF*(SCRL1+SCRL2)/4+(SCRMG-SCRF/2)*(SCRL1+SCRL2)/3</f>
        <v>52.096499999999992</v>
      </c>
      <c r="CR69" s="256" t="str">
        <f>IF(CO69&lt;'Look Ups'!$AC$4,"Yes","No")</f>
        <v>No</v>
      </c>
      <c r="CS69" s="267">
        <f>IF(CR69="Yes",MIN(150,('Look Ups'!$AC$4-PSCR)/('Look Ups'!$AC$4-'Look Ups'!$AC$3)*100),0)</f>
        <v>0</v>
      </c>
      <c r="CT69" s="83"/>
      <c r="CU69" s="91"/>
      <c r="CV69" s="91"/>
      <c r="CW69" s="91"/>
      <c r="CX69" s="256" t="str">
        <f>IF(USCRF&gt;0,USCRMG/USCRF*100,"")</f>
        <v/>
      </c>
      <c r="CY69" s="293">
        <f>IF(PUSCR&lt;'Look Ups'!$AC$4,MIN(150,('Look Ups'!$AC$4-PUSCR)/('Look Ups'!$AC$4-'Look Ups'!$AC$3)*100),0)</f>
        <v>0</v>
      </c>
      <c r="CZ69" s="275">
        <f>IF(PUSCR&lt;'Look Ups'!$AC$4,USCRF*(USCRL1+USCRL2)/4+(USCRMG-USCRF/2)*(USCRL1+USCRL2)/3,0)</f>
        <v>0</v>
      </c>
      <c r="DA69" s="294">
        <f>IF(ZVAL=1,1,IF(LPM&gt;0,0.64*((AM+MAM)/(E+(MC/2))^2)^0.3,0))</f>
        <v>1</v>
      </c>
      <c r="DB69" s="256">
        <f>0.65*((AM+MAM)*EFM)+0.35*((AM+MAM)*ZVAL)</f>
        <v>39.142576999999996</v>
      </c>
      <c r="DC69" s="256">
        <f>IF(ZVAL=1,1,IF(LPG&gt;0,0.72*(AG/(LPG^2))^0.3,0))</f>
        <v>1</v>
      </c>
      <c r="DD69" s="256">
        <f>AG*EFG</f>
        <v>22.299200000000003</v>
      </c>
      <c r="DE69" s="256">
        <f>IF(AZ69&gt;0,'Look Ups'!$S$3,0)</f>
        <v>1</v>
      </c>
      <c r="DF69" s="256">
        <f>IF(LPS&gt;0,0.72*(AS/(LPS^2))^0.3,0)</f>
        <v>0</v>
      </c>
      <c r="DG69" s="256">
        <f>EFS*AS</f>
        <v>0</v>
      </c>
      <c r="DH69" s="256">
        <f>IF(LPD&gt;0,0.72*(AD/(LPD^2))^0.3,0)</f>
        <v>0</v>
      </c>
      <c r="DI69" s="280">
        <f>IF((AD-AG)&gt;0,0.3*(AD-AG)*EFD,0)</f>
        <v>0</v>
      </c>
      <c r="DJ69" s="295" t="str">
        <f>IF((SCRF=0),"-",IF(AND(MSASC&gt;AG,SCRMG&lt;(0.75*SCRF)),"valid","ERROR"))</f>
        <v>valid</v>
      </c>
      <c r="DK69" s="266" t="str">
        <f>IF((SF=0),"-",IF((SMG&lt;(0.75*SF)),"ERROR",IF(AND(MSASP&gt;MSASC,MSASP&gt;AG,MSASP&gt;=0.36*RSAM),"valid","Small")))</f>
        <v>valid</v>
      </c>
      <c r="DL69" s="267" t="str">
        <f>IF(C69="","",CONCATENATE("MG",IF(FLSCR="valid","Scr",""),IF(FLSPI="valid","SP","")))</f>
        <v>MGScrSP</v>
      </c>
      <c r="DM69" s="294">
        <f>RSAM+RSAG</f>
        <v>61.441777000000002</v>
      </c>
      <c r="DN69" s="256">
        <f>IF(MSASP&gt;0,'Look Ups'!$AI$4*(ZVAL*MSASP-RSAG),0)</f>
        <v>25.076865000000002</v>
      </c>
      <c r="DO69" s="256">
        <f>IF(AND(MSASC&gt;0,(MSASC&gt;=0.36*RSAM)),('Look Ups'!$AI$3*(ZVAL*MSASC-RSAG)),(0))</f>
        <v>10.429054999999996</v>
      </c>
      <c r="DP69" s="256">
        <f>IF(MSASP&gt;0,'Look Ups'!$AI$5*(ZVAL*MSASP-RSAG),0)</f>
        <v>23.405074000000003</v>
      </c>
      <c r="DQ69" s="256">
        <f>IF(MSASC&gt;0,'Look Ups'!$AI$6*(MSASC-RSAG),0)</f>
        <v>2.0858109999999996</v>
      </c>
      <c r="DR69" s="280">
        <f>'Look Ups'!$AI$7*MAX(IF(MSAUSC&gt;0,EUSC/100*(MSAUSC-RSAG),0),IF(CR69="Yes",ELSC/100*(MSASC-RSAG),0))</f>
        <v>0</v>
      </c>
      <c r="DS69" s="280">
        <f>0.36*RSAM</f>
        <v>14.091327719999997</v>
      </c>
      <c r="DT69" s="296">
        <f>_xlfn.IFS(SPC="MG",RAMG+DS69,SPC="MGScr",RAMG+RASCO,SPC="MGSp",RAMG+RASPO,SPC="MGScrSp",RAMG+RASPSC+RASCR)+RAUSC+RSAST+RSAD+RSAMZ+RSA2M</f>
        <v>86.932661999999993</v>
      </c>
      <c r="DU69" s="27"/>
    </row>
    <row r="70" spans="1:125" ht="15.6" customHeight="1" x14ac:dyDescent="0.3">
      <c r="A70" s="4"/>
      <c r="B70" s="64"/>
      <c r="C70" s="64" t="s">
        <v>341</v>
      </c>
      <c r="D70" s="85" t="s">
        <v>161</v>
      </c>
      <c r="E70" s="86" t="s">
        <v>342</v>
      </c>
      <c r="F70" s="252">
        <f ca="1">IF(RW=0,0,ROUND(DLF*0.93*RL^LF*RSA^0.4/RW^0.325,3))</f>
        <v>1.2390000000000001</v>
      </c>
      <c r="G70" s="252" t="str">
        <f ca="1">IF(OR(FLSCR="ERROR",FLSPI="ERROR"),"No",IF(TODAY()-'Look Ups'!$D$4*365&gt;I70,"WP Applied","Yes"))</f>
        <v>Yes</v>
      </c>
      <c r="H70" s="253" t="str">
        <f>IF(SPC="","",CONCATENATE("Main-Genoa",IF(FLSCR="valid",IF(OR(CR70="Yes",MSAUSC&gt;0),"-Screacher (Upwind)","-Screacher"),""),IF(FLSPI="valid","-Spinnaker",""),IF(RSAMZ&gt;0,"-Mizzen",""),IF(RSA2M&gt;0,"-Second Main",""),IF(AS&gt;0,"-Staysail",""),IF(AD&gt;0,"-Drifter","")))</f>
        <v>Main-Genoa-Screacher</v>
      </c>
      <c r="I70" s="1">
        <v>44782</v>
      </c>
      <c r="J70" s="1">
        <v>44783</v>
      </c>
      <c r="K70" s="87" t="s">
        <v>163</v>
      </c>
      <c r="L70" s="87" t="s">
        <v>164</v>
      </c>
      <c r="M70" s="207"/>
      <c r="N70" s="88" t="s">
        <v>165</v>
      </c>
      <c r="O70" s="88"/>
      <c r="P70" s="100"/>
      <c r="Q70" s="90">
        <v>11.9</v>
      </c>
      <c r="R70" s="87"/>
      <c r="S70" s="256">
        <f>IF((LOAA&gt;LOA),0.025*LOAA,0.025*LOA)</f>
        <v>0.29750000000000004</v>
      </c>
      <c r="T70" s="91"/>
      <c r="U70" s="91"/>
      <c r="V70" s="258">
        <f>IF((_xlfn.SINGLE(LOAA)&gt;_xlfn.SINGLE(LOA)),_xlfn.SINGLE(LOAA),_xlfn.SINGLE(LOA)-_xlfn.SINGLE(FOC)-_xlfn.SINGLE(AOC))</f>
        <v>11.9</v>
      </c>
      <c r="W70" s="259">
        <f>IF(RL&gt;0,IF(RL&gt;'Look Ups'!Y$7,'Look Ups'!Y$8,('Look Ups'!Y$3*RL^3+'Look Ups'!Y$4*RL^2+'Look Ups'!Y$5*RL+'Look Ups'!Y$6)),0)</f>
        <v>0.29990624700000001</v>
      </c>
      <c r="X70" s="92">
        <v>1535</v>
      </c>
      <c r="Y70" s="262">
        <f ca="1">IF(WDATE&lt;(TODAY()-'Look Ups'!$D$4*365),-WM*'Look Ups'!$D$5/100,0)</f>
        <v>0</v>
      </c>
      <c r="Z70" s="93"/>
      <c r="AA70" s="93"/>
      <c r="AB70" s="75"/>
      <c r="AC70" s="265">
        <f>WCD+NC*'Look Ups'!$AF$3</f>
        <v>0</v>
      </c>
      <c r="AD70" s="265">
        <f ca="1">IF(RL&lt;'Look Ups'!AM$3,'Look Ups'!AM$4,IF(RL&gt;'Look Ups'!AM$5,'Look Ups'!AM$6,(RL-'Look Ups'!AM$3)/('Look Ups'!AM$5-'Look Ups'!AM$3)*('Look Ups'!AM$6-'Look Ups'!AM$4)+'Look Ups'!AM$4))/100*WS</f>
        <v>170.24545454545446</v>
      </c>
      <c r="AE70" s="266">
        <f ca="1">WM+WP+WE</f>
        <v>1535</v>
      </c>
      <c r="AF70" s="267">
        <f ca="1">_xlfn.SINGLE(WS)+IF(_xlfn.SINGLE(TCW)&gt;=_xlfn.SINGLE(CWA),_xlfn.SINGLE(CWA),_xlfn.SINGLE(TCW))</f>
        <v>1535</v>
      </c>
      <c r="AG70" s="94" t="s">
        <v>145</v>
      </c>
      <c r="AH70" s="95" t="s">
        <v>146</v>
      </c>
      <c r="AI70" s="96" t="s">
        <v>147</v>
      </c>
      <c r="AJ70" s="218"/>
      <c r="AK70" s="273">
        <f>IF(C70="",0,VLOOKUP(AG70,'Look Ups'!$F$3:$G$6,2,0)*VLOOKUP(AH70,'Look Ups'!$I$3:$J$5,2,0)*VLOOKUP(AI70,'Look Ups'!$L$3:$M$7,2,0)*IF(AJ70="",1,VLOOKUP(AJ70,'Look Ups'!$O$3:$P$4,2,0)))</f>
        <v>1</v>
      </c>
      <c r="AL70" s="83">
        <v>17.690000000000001</v>
      </c>
      <c r="AM70" s="91">
        <v>17.32</v>
      </c>
      <c r="AN70" s="91">
        <v>5</v>
      </c>
      <c r="AO70" s="91">
        <v>1.93</v>
      </c>
      <c r="AP70" s="91">
        <v>0.36</v>
      </c>
      <c r="AQ70" s="91">
        <v>17.57</v>
      </c>
      <c r="AR70" s="91">
        <v>0.13</v>
      </c>
      <c r="AS70" s="91">
        <v>5.0199999999999996</v>
      </c>
      <c r="AT70" s="91"/>
      <c r="AU70" s="91">
        <v>0.77</v>
      </c>
      <c r="AV70" s="91" t="s">
        <v>148</v>
      </c>
      <c r="AW70" s="97">
        <v>0</v>
      </c>
      <c r="AX70" s="256">
        <f>P+ER</f>
        <v>17.57</v>
      </c>
      <c r="AY70" s="256">
        <f>P*0.375*MC</f>
        <v>5.0733375000000001</v>
      </c>
      <c r="AZ70" s="275">
        <f>IF(C70="",0,(0.5*(_ML1*LPM)+0.5*(_ML1*HB)+0.66*(P*PR)+0.66*(_ML2*RDM)+0.66*(E*ER))*VLOOKUP(BATT,'Look Ups'!$U$3:$V$4,2,0))</f>
        <v>66.918588</v>
      </c>
      <c r="BA70" s="98"/>
      <c r="BB70" s="99"/>
      <c r="BC70" s="83">
        <v>12.97</v>
      </c>
      <c r="BD70" s="91">
        <v>3.31</v>
      </c>
      <c r="BE70" s="91">
        <v>3.47</v>
      </c>
      <c r="BF70" s="91">
        <v>0.09</v>
      </c>
      <c r="BG70" s="91">
        <v>12.5</v>
      </c>
      <c r="BH70" s="91">
        <v>12.46</v>
      </c>
      <c r="BI70" s="91">
        <v>0.2</v>
      </c>
      <c r="BJ70" s="91">
        <v>7.0000000000000007E-2</v>
      </c>
      <c r="BK70" s="91">
        <v>0.04</v>
      </c>
      <c r="BL70" s="97">
        <v>0</v>
      </c>
      <c r="BM70" s="275">
        <f>(0.5*LL*LPG)+(0.5*_LG1*HG)+(0.66*LL*LLRG)+(0.66*FG*FRG)+(IF((HG&gt;0),(0.66*_LG2*LRG),(0.66*_LG1*LRG)))</f>
        <v>23.839528000000001</v>
      </c>
      <c r="BN70" s="282"/>
      <c r="BO70" s="283"/>
      <c r="BP70" s="284"/>
      <c r="BQ70" s="284"/>
      <c r="BR70" s="283"/>
      <c r="BS70" s="284"/>
      <c r="BT70" s="284"/>
      <c r="BU70" s="280">
        <f>(0.5*LLS*LPS)+(0.66*LLS*LLRS)+(0.66*LS*LRS)+(0.66*FS*FRS)</f>
        <v>0</v>
      </c>
      <c r="BV70" s="285"/>
      <c r="BW70" s="283"/>
      <c r="BX70" s="283"/>
      <c r="BY70" s="283"/>
      <c r="BZ70" s="283"/>
      <c r="CA70" s="283"/>
      <c r="CB70" s="283"/>
      <c r="CC70" s="275">
        <f>(0.5*LLD*LPD)+(0.66*LLD*LLRD)+(0.66*LCHD*LRD)+(0.66*FD*FRD)</f>
        <v>0</v>
      </c>
      <c r="CD70" s="98"/>
      <c r="CE70" s="91"/>
      <c r="CF70" s="91"/>
      <c r="CG70" s="91"/>
      <c r="CH70" s="266" t="str">
        <f>IF(SF&gt;0,SMG/SF*100,"")</f>
        <v/>
      </c>
      <c r="CI70" s="283"/>
      <c r="CJ70" s="280">
        <f>SF*(_SL1+_SL2)/4+(SMG-SF/2)*(_SL1+_SL2)/3</f>
        <v>0</v>
      </c>
      <c r="CK70" s="83">
        <v>9.99</v>
      </c>
      <c r="CL70" s="91">
        <v>19.07</v>
      </c>
      <c r="CM70" s="91">
        <v>15.77</v>
      </c>
      <c r="CN70" s="91">
        <v>6.49</v>
      </c>
      <c r="CO70" s="256">
        <f>IF(SCRF&gt;0,SCRMG/SCRF*100,"")</f>
        <v>64.964964964964963</v>
      </c>
      <c r="CP70" s="283"/>
      <c r="CQ70" s="256">
        <f>SCRF*(SCRL1+SCRL2)/4+(SCRMG-SCRF/2)*(SCRL1+SCRL2)/3</f>
        <v>104.37483333333336</v>
      </c>
      <c r="CR70" s="256" t="str">
        <f>IF(CO70&lt;'Look Ups'!$AC$4,"Yes","No")</f>
        <v>No</v>
      </c>
      <c r="CS70" s="267">
        <f>IF(CR70="Yes",MIN(150,('Look Ups'!$AC$4-PSCR)/('Look Ups'!$AC$4-'Look Ups'!$AC$3)*100),0)</f>
        <v>0</v>
      </c>
      <c r="CT70" s="83"/>
      <c r="CU70" s="91"/>
      <c r="CV70" s="91"/>
      <c r="CW70" s="91"/>
      <c r="CX70" s="256" t="str">
        <f>IF(USCRF&gt;0,USCRMG/USCRF*100,"")</f>
        <v/>
      </c>
      <c r="CY70" s="293">
        <f>IF(PUSCR&lt;'Look Ups'!$AC$4,MIN(150,('Look Ups'!$AC$4-PUSCR)/('Look Ups'!$AC$4-'Look Ups'!$AC$3)*100),0)</f>
        <v>0</v>
      </c>
      <c r="CZ70" s="275">
        <f>IF(PUSCR&lt;'Look Ups'!$AC$4,USCRF*(USCRL1+USCRL2)/4+(USCRMG-USCRF/2)*(USCRL1+USCRL2)/3,0)</f>
        <v>0</v>
      </c>
      <c r="DA70" s="294">
        <f>IF(ZVAL=1,1,IF(LPM&gt;0,0.64*((AM+MAM)/(E+(MC/2))^2)^0.3,0))</f>
        <v>1</v>
      </c>
      <c r="DB70" s="256">
        <f>0.65*((AM+MAM)*EFM)+0.35*((AM+MAM)*ZVAL)</f>
        <v>71.991925499999994</v>
      </c>
      <c r="DC70" s="256">
        <f>IF(ZVAL=1,1,IF(LPG&gt;0,0.72*(AG/(LPG^2))^0.3,0))</f>
        <v>1</v>
      </c>
      <c r="DD70" s="256">
        <f>AG*EFG</f>
        <v>23.839528000000001</v>
      </c>
      <c r="DE70" s="256">
        <f>IF(AZ70&gt;0,'Look Ups'!$S$3,0)</f>
        <v>1</v>
      </c>
      <c r="DF70" s="256">
        <f>IF(LPS&gt;0,0.72*(AS/(LPS^2))^0.3,0)</f>
        <v>0</v>
      </c>
      <c r="DG70" s="256">
        <f>EFS*AS</f>
        <v>0</v>
      </c>
      <c r="DH70" s="256">
        <f>IF(LPD&gt;0,0.72*(AD/(LPD^2))^0.3,0)</f>
        <v>0</v>
      </c>
      <c r="DI70" s="280">
        <f>IF((AD-AG)&gt;0,0.3*(AD-AG)*EFD,0)</f>
        <v>0</v>
      </c>
      <c r="DJ70" s="295" t="str">
        <f>IF((SCRF=0),"-",IF(AND(MSASC&gt;AG,SCRMG&lt;(0.75*SCRF)),"valid","ERROR"))</f>
        <v>valid</v>
      </c>
      <c r="DK70" s="266" t="str">
        <f>IF((SF=0),"-",IF((SMG&lt;(0.75*SF)),"ERROR",IF(AND(MSASP&gt;MSASC,MSASP&gt;AG,MSASP&gt;=0.36*RSAM),"valid","Small")))</f>
        <v>-</v>
      </c>
      <c r="DL70" s="267" t="str">
        <f>IF(C70="","",CONCATENATE("MG",IF(FLSCR="valid","Scr",""),IF(FLSPI="valid","SP","")))</f>
        <v>MGScr</v>
      </c>
      <c r="DM70" s="294">
        <f>RSAM+RSAG</f>
        <v>95.831453499999995</v>
      </c>
      <c r="DN70" s="256">
        <f>IF(MSASP&gt;0,'Look Ups'!$AI$4*(ZVAL*MSASP-RSAG),0)</f>
        <v>0</v>
      </c>
      <c r="DO70" s="256">
        <f>IF(AND(MSASC&gt;0,(MSASC&gt;=0.36*RSAM)),('Look Ups'!$AI$3*(ZVAL*MSASC-RSAG)),(0))</f>
        <v>28.187356866666672</v>
      </c>
      <c r="DP70" s="256">
        <f>IF(MSASP&gt;0,'Look Ups'!$AI$5*(ZVAL*MSASP-RSAG),0)</f>
        <v>0</v>
      </c>
      <c r="DQ70" s="256">
        <f>IF(MSASC&gt;0,'Look Ups'!$AI$6*(MSASC-RSAG),0)</f>
        <v>5.6374713733333355</v>
      </c>
      <c r="DR70" s="280">
        <f>'Look Ups'!$AI$7*MAX(IF(MSAUSC&gt;0,EUSC/100*(MSAUSC-RSAG),0),IF(CR70="Yes",ELSC/100*(MSASC-RSAG),0))</f>
        <v>0</v>
      </c>
      <c r="DS70" s="280">
        <f>0.36*RSAM</f>
        <v>25.917093179999998</v>
      </c>
      <c r="DT70" s="296">
        <f>_xlfn.IFS(SPC="MG",RAMG+DS70,SPC="MGScr",RAMG+RASCO,SPC="MGSp",RAMG+RASPO,SPC="MGScrSp",RAMG+RASPSC+RASCR)+RAUSC+RSAST+RSAD+RSAMZ+RSA2M</f>
        <v>124.01881036666667</v>
      </c>
      <c r="DU70" s="27"/>
    </row>
    <row r="71" spans="1:125" ht="15.6" customHeight="1" x14ac:dyDescent="0.3">
      <c r="A71" s="4"/>
      <c r="B71" s="64"/>
      <c r="C71" s="64" t="s">
        <v>343</v>
      </c>
      <c r="D71" s="85" t="s">
        <v>344</v>
      </c>
      <c r="E71" s="86" t="s">
        <v>345</v>
      </c>
      <c r="F71" s="252">
        <f ca="1">IF(RW=0,0,ROUND(DLF*0.93*RL^LF*RSA^0.4/RW^0.325,3))</f>
        <v>0.65600000000000003</v>
      </c>
      <c r="G71" s="252" t="str">
        <f ca="1">IF(OR(FLSCR="ERROR",FLSPI="ERROR"),"No",IF(TODAY()-'Look Ups'!$D$4*365&gt;I71,"WP Applied","Yes"))</f>
        <v>Yes</v>
      </c>
      <c r="H71" s="253" t="str">
        <f>IF(SPC="","",CONCATENATE("Main-Genoa",IF(FLSCR="valid",IF(OR(CR71="Yes",MSAUSC&gt;0),"-Screacher (Upwind)","-Screacher"),""),IF(FLSPI="valid","-Spinnaker",""),IF(RSAMZ&gt;0,"-Mizzen",""),IF(RSA2M&gt;0,"-Second Main",""),IF(AS&gt;0,"-Staysail",""),IF(AD&gt;0,"-Drifter","")))</f>
        <v>Main-Genoa-Screacher (Upwind)-Spinnaker</v>
      </c>
      <c r="I71" s="1">
        <v>44009</v>
      </c>
      <c r="J71" s="1">
        <v>44009</v>
      </c>
      <c r="K71" s="87" t="s">
        <v>186</v>
      </c>
      <c r="L71" s="87" t="s">
        <v>164</v>
      </c>
      <c r="M71" s="207"/>
      <c r="N71" s="97" t="s">
        <v>165</v>
      </c>
      <c r="O71" s="97" t="s">
        <v>262</v>
      </c>
      <c r="P71" s="102">
        <v>6.4</v>
      </c>
      <c r="Q71" s="90">
        <v>11.8</v>
      </c>
      <c r="R71" s="87"/>
      <c r="S71" s="256">
        <f>IF((LOAA&gt;LOA),0.025*LOAA,0.025*LOA)</f>
        <v>0.29500000000000004</v>
      </c>
      <c r="T71" s="91">
        <v>0</v>
      </c>
      <c r="U71" s="91"/>
      <c r="V71" s="258">
        <f>IF((_xlfn.SINGLE(LOAA)&gt;_xlfn.SINGLE(LOA)),_xlfn.SINGLE(LOAA),_xlfn.SINGLE(LOA)-_xlfn.SINGLE(FOC)-_xlfn.SINGLE(AOC))</f>
        <v>11.8</v>
      </c>
      <c r="W71" s="259">
        <f>IF(RL&gt;0,IF(RL&gt;'Look Ups'!Y$7,'Look Ups'!Y$8,('Look Ups'!Y$3*RL^3+'Look Ups'!Y$4*RL^2+'Look Ups'!Y$5*RL+'Look Ups'!Y$6)),0)</f>
        <v>0.29988405600000001</v>
      </c>
      <c r="X71" s="92">
        <v>9830</v>
      </c>
      <c r="Y71" s="262">
        <f ca="1">IF(WDATE&lt;(TODAY()-'Look Ups'!$D$4*365),-WM*'Look Ups'!$D$5/100,0)</f>
        <v>0</v>
      </c>
      <c r="Z71" s="93"/>
      <c r="AA71" s="225"/>
      <c r="AB71" s="226"/>
      <c r="AC71" s="265">
        <f>WCD+NC*'Look Ups'!$AF$3</f>
        <v>0</v>
      </c>
      <c r="AD71" s="265">
        <f ca="1">IF(RL&lt;'Look Ups'!AM$3,'Look Ups'!AM$4,IF(RL&gt;'Look Ups'!AM$5,'Look Ups'!AM$6,(RL-'Look Ups'!AM$3)/('Look Ups'!AM$5-'Look Ups'!AM$3)*('Look Ups'!AM$6-'Look Ups'!AM$4)+'Look Ups'!AM$4))/100*WS</f>
        <v>1125.9818181818177</v>
      </c>
      <c r="AE71" s="266">
        <f ca="1">WM+WP+WE</f>
        <v>9830</v>
      </c>
      <c r="AF71" s="267">
        <f ca="1">_xlfn.SINGLE(WS)+IF(_xlfn.SINGLE(TCW)&gt;=_xlfn.SINGLE(CWA),_xlfn.SINGLE(CWA),_xlfn.SINGLE(TCW))</f>
        <v>9830</v>
      </c>
      <c r="AG71" s="94" t="s">
        <v>145</v>
      </c>
      <c r="AH71" s="95" t="s">
        <v>146</v>
      </c>
      <c r="AI71" s="96" t="s">
        <v>147</v>
      </c>
      <c r="AJ71" s="218"/>
      <c r="AK71" s="273">
        <f>IF(C71="",0,VLOOKUP(AG71,'Look Ups'!$F$3:$G$6,2,0)*VLOOKUP(AH71,'Look Ups'!$I$3:$J$5,2,0)*VLOOKUP(AI71,'Look Ups'!$L$3:$M$7,2,0)*IF(AJ71="",1,VLOOKUP(AJ71,'Look Ups'!$O$3:$P$4,2,0)))</f>
        <v>1</v>
      </c>
      <c r="AL71" s="83">
        <v>15.24</v>
      </c>
      <c r="AM71" s="91">
        <v>14.7</v>
      </c>
      <c r="AN71" s="91">
        <v>5.33</v>
      </c>
      <c r="AO71" s="91">
        <v>1.6</v>
      </c>
      <c r="AP71" s="91">
        <v>0.39</v>
      </c>
      <c r="AQ71" s="91">
        <v>14.8</v>
      </c>
      <c r="AR71" s="91">
        <v>0.18</v>
      </c>
      <c r="AS71" s="91">
        <v>5.51</v>
      </c>
      <c r="AT71" s="91">
        <v>0.1</v>
      </c>
      <c r="AU71" s="91"/>
      <c r="AV71" s="91" t="s">
        <v>148</v>
      </c>
      <c r="AW71" s="97"/>
      <c r="AX71" s="256">
        <f>P+ER</f>
        <v>14.9</v>
      </c>
      <c r="AY71" s="256">
        <f>P*0.375*MC</f>
        <v>0</v>
      </c>
      <c r="AZ71" s="275">
        <f>IF(C71="",0,(0.5*(_ML1*LPM)+0.5*(_ML1*HB)+0.66*(P*PR)+0.66*(_ML2*RDM)+0.66*(E*ER))*VLOOKUP(BATT,'Look Ups'!$U$3:$V$4,2,0))</f>
        <v>58.712280000000007</v>
      </c>
      <c r="BA71" s="98"/>
      <c r="BB71" s="99"/>
      <c r="BC71" s="83">
        <v>13.6</v>
      </c>
      <c r="BD71" s="91">
        <v>5.72</v>
      </c>
      <c r="BE71" s="91">
        <v>6.16</v>
      </c>
      <c r="BF71" s="91">
        <v>0.13</v>
      </c>
      <c r="BG71" s="91">
        <v>12.54</v>
      </c>
      <c r="BH71" s="91"/>
      <c r="BI71" s="91"/>
      <c r="BJ71" s="91">
        <v>-0.28000000000000003</v>
      </c>
      <c r="BK71" s="91">
        <v>7.0000000000000007E-2</v>
      </c>
      <c r="BL71" s="97"/>
      <c r="BM71" s="275">
        <f>(0.5*LL*LPG)+(0.5*_LG1*HG)+(0.66*LL*LLRG)+(0.66*FG*FRG)+(IF((HG&gt;0),(0.66*_LG2*LRG),(0.66*_LG1*LRG)))</f>
        <v>37.735456000000006</v>
      </c>
      <c r="BN71" s="282"/>
      <c r="BO71" s="283"/>
      <c r="BP71" s="284"/>
      <c r="BQ71" s="284"/>
      <c r="BR71" s="283"/>
      <c r="BS71" s="284"/>
      <c r="BT71" s="284"/>
      <c r="BU71" s="280">
        <f>(0.5*LLS*LPS)+(0.66*LLS*LLRS)+(0.66*LS*LRS)+(0.66*FS*FRS)</f>
        <v>0</v>
      </c>
      <c r="BV71" s="285"/>
      <c r="BW71" s="283"/>
      <c r="BX71" s="283"/>
      <c r="BY71" s="283"/>
      <c r="BZ71" s="283"/>
      <c r="CA71" s="283"/>
      <c r="CB71" s="283"/>
      <c r="CC71" s="275">
        <f>(0.5*LLD*LPD)+(0.66*LLD*LLRD)+(0.66*LCHD*LRD)+(0.66*FD*FRD)</f>
        <v>0</v>
      </c>
      <c r="CD71" s="98">
        <v>9.26</v>
      </c>
      <c r="CE71" s="91">
        <v>15.76</v>
      </c>
      <c r="CF71" s="91">
        <v>13.73</v>
      </c>
      <c r="CG71" s="91">
        <v>7.58</v>
      </c>
      <c r="CH71" s="266">
        <f>IF(SF&gt;0,SMG/SF*100,"")</f>
        <v>81.857451403887694</v>
      </c>
      <c r="CI71" s="283"/>
      <c r="CJ71" s="280">
        <f>SF*(_SL1+_SL2)/4+(SMG-SF/2)*(_SL1+_SL2)/3</f>
        <v>97.26785000000001</v>
      </c>
      <c r="CK71" s="83">
        <v>8.0500000000000007</v>
      </c>
      <c r="CL71" s="91">
        <v>14.99</v>
      </c>
      <c r="CM71" s="91">
        <v>13.13</v>
      </c>
      <c r="CN71" s="91">
        <v>4.1399999999999997</v>
      </c>
      <c r="CO71" s="256">
        <f>IF(SCRF&gt;0,SCRMG/SCRF*100,"")</f>
        <v>51.428571428571423</v>
      </c>
      <c r="CP71" s="286"/>
      <c r="CQ71" s="256">
        <f>SCRF*(SCRL1+SCRL2)/4+(SCRMG-SCRF/2)*(SCRL1+SCRL2)/3</f>
        <v>57.66943333333333</v>
      </c>
      <c r="CR71" s="256" t="str">
        <f>IF(CO71&lt;'Look Ups'!$AC$4,"Yes","No")</f>
        <v>Yes</v>
      </c>
      <c r="CS71" s="267">
        <f>IF(CR71="Yes",MIN(150,('Look Ups'!$AC$4-PSCR)/('Look Ups'!$AC$4-'Look Ups'!$AC$3)*100),0)</f>
        <v>11.42857142857153</v>
      </c>
      <c r="CT71" s="83"/>
      <c r="CU71" s="91"/>
      <c r="CV71" s="91"/>
      <c r="CW71" s="91"/>
      <c r="CX71" s="256" t="str">
        <f>IF(USCRF&gt;0,USCRMG/USCRF*100,"")</f>
        <v/>
      </c>
      <c r="CY71" s="293">
        <f>IF(PUSCR&lt;'Look Ups'!$AC$4,MIN(150,('Look Ups'!$AC$4-PUSCR)/('Look Ups'!$AC$4-'Look Ups'!$AC$3)*100),0)</f>
        <v>0</v>
      </c>
      <c r="CZ71" s="275">
        <f>IF(PUSCR&lt;'Look Ups'!$AC$4,USCRF*(USCRL1+USCRL2)/4+(USCRMG-USCRF/2)*(USCRL1+USCRL2)/3,0)</f>
        <v>0</v>
      </c>
      <c r="DA71" s="294">
        <f>IF(ZVAL=1,1,IF(LPM&gt;0,0.64*((AM+MAM)/(E+(MC/2))^2)^0.3,0))</f>
        <v>1</v>
      </c>
      <c r="DB71" s="256">
        <f>0.65*((AM+MAM)*EFM)+0.35*((AM+MAM)*ZVAL)</f>
        <v>58.712280000000007</v>
      </c>
      <c r="DC71" s="256">
        <f>IF(ZVAL=1,1,IF(LPG&gt;0,0.72*(AG/(LPG^2))^0.3,0))</f>
        <v>1</v>
      </c>
      <c r="DD71" s="256">
        <f>AG*EFG</f>
        <v>37.735456000000006</v>
      </c>
      <c r="DE71" s="256">
        <f>IF(AZ71&gt;0,'Look Ups'!$S$3,0)</f>
        <v>1</v>
      </c>
      <c r="DF71" s="256">
        <f>IF(LPS&gt;0,0.72*(AS/(LPS^2))^0.3,0)</f>
        <v>0</v>
      </c>
      <c r="DG71" s="256">
        <f>EFS*AS</f>
        <v>0</v>
      </c>
      <c r="DH71" s="256">
        <f>IF(LPD&gt;0,0.72*(AD/(LPD^2))^0.3,0)</f>
        <v>0</v>
      </c>
      <c r="DI71" s="280">
        <f>IF((AD-AG)&gt;0,0.3*(AD-AG)*EFD,0)</f>
        <v>0</v>
      </c>
      <c r="DJ71" s="295" t="str">
        <f>IF((SCRF=0),"-",IF(AND(MSASC&gt;AG,SCRMG&lt;(0.75*SCRF)),"valid","ERROR"))</f>
        <v>valid</v>
      </c>
      <c r="DK71" s="266" t="str">
        <f>IF((SF=0),"-",IF((SMG&lt;(0.75*SF)),"ERROR",IF(AND(MSASP&gt;MSASC,MSASP&gt;AG,MSASP&gt;=0.36*RSAM),"valid","Small")))</f>
        <v>valid</v>
      </c>
      <c r="DL71" s="267" t="str">
        <f>IF(C71="","",CONCATENATE("MG",IF(FLSCR="valid","Scr",""),IF(FLSPI="valid","SP","")))</f>
        <v>MGScrSP</v>
      </c>
      <c r="DM71" s="294">
        <f>RSAM+RSAG</f>
        <v>96.44773600000002</v>
      </c>
      <c r="DN71" s="256">
        <f>IF(MSASP&gt;0,'Look Ups'!$AI$4*(ZVAL*MSASP-RSAG),0)</f>
        <v>17.8597182</v>
      </c>
      <c r="DO71" s="256">
        <f>IF(AND(MSASC&gt;0,(MSASC&gt;=0.36*RSAM)),('Look Ups'!$AI$3*(ZVAL*MSASC-RSAG)),(0))</f>
        <v>6.9768920666666627</v>
      </c>
      <c r="DP71" s="256">
        <f>IF(MSASP&gt;0,'Look Ups'!$AI$5*(ZVAL*MSASP-RSAG),0)</f>
        <v>16.669070320000003</v>
      </c>
      <c r="DQ71" s="256">
        <f>IF(MSASC&gt;0,'Look Ups'!$AI$6*(MSASC-RSAG),0)</f>
        <v>1.3953784133333329</v>
      </c>
      <c r="DR71" s="280">
        <f>'Look Ups'!$AI$7*MAX(IF(MSAUSC&gt;0,EUSC/100*(MSAUSC-RSAG),0),IF(CR71="Yes",ELSC/100*(MSASC-RSAG),0))</f>
        <v>0.56954220952381429</v>
      </c>
      <c r="DS71" s="280">
        <f>0.36*RSAM</f>
        <v>21.136420800000003</v>
      </c>
      <c r="DT71" s="296">
        <f>_xlfn.IFS(SPC="MG",RAMG+DS71,SPC="MGScr",RAMG+RASCO,SPC="MGSp",RAMG+RASPO,SPC="MGScrSp",RAMG+RASPSC+RASCR)+RAUSC+RSAST+RSAD+RSAMZ+RSA2M</f>
        <v>115.08172694285717</v>
      </c>
      <c r="DU71" s="27"/>
    </row>
    <row r="72" spans="1:125" ht="15.6" customHeight="1" x14ac:dyDescent="0.3">
      <c r="A72" s="4"/>
      <c r="B72" s="64"/>
      <c r="C72" s="64" t="s">
        <v>1146</v>
      </c>
      <c r="D72" s="85" t="s">
        <v>161</v>
      </c>
      <c r="E72" s="86" t="s">
        <v>417</v>
      </c>
      <c r="F72" s="252">
        <f ca="1">IF(RW=0,0,ROUND(DLF*0.93*RL^LF*RSA^0.4/RW^0.325,3))</f>
        <v>1.228</v>
      </c>
      <c r="G72" s="252" t="str">
        <f ca="1">IF(OR(FLSCR="ERROR",FLSPI="ERROR"),"No",IF(TODAY()-'Look Ups'!$D$4*365&gt;I72,"WP Applied","Yes"))</f>
        <v>Yes</v>
      </c>
      <c r="H72" s="253" t="str">
        <f>IF(SPC="","",CONCATENATE("Main-Genoa",IF(FLSCR="valid",IF(OR(CR72="Yes",MSAUSC&gt;0),"-Screacher (Upwind)","-Screacher"),""),IF(FLSPI="valid","-Spinnaker",""),IF(RSAMZ&gt;0,"-Mizzen",""),IF(RSA2M&gt;0,"-Second Main",""),IF(AS&gt;0,"-Staysail",""),IF(AD&gt;0,"-Drifter","")))</f>
        <v>Main-Genoa-Screacher</v>
      </c>
      <c r="I72" s="1">
        <v>45148</v>
      </c>
      <c r="J72" s="1">
        <v>45510</v>
      </c>
      <c r="K72" s="87" t="s">
        <v>1192</v>
      </c>
      <c r="L72" s="87" t="s">
        <v>164</v>
      </c>
      <c r="M72" s="207"/>
      <c r="N72" s="88" t="s">
        <v>165</v>
      </c>
      <c r="O72" s="88" t="s">
        <v>144</v>
      </c>
      <c r="P72" s="89"/>
      <c r="Q72" s="90">
        <v>11.9</v>
      </c>
      <c r="R72" s="87"/>
      <c r="S72" s="256">
        <f>IF((LOAA&gt;LOA),0.025*LOAA,0.025*LOA)</f>
        <v>0.29750000000000004</v>
      </c>
      <c r="T72" s="91"/>
      <c r="U72" s="91">
        <v>0</v>
      </c>
      <c r="V72" s="258">
        <f>IF((_xlfn.SINGLE(LOAA)&gt;_xlfn.SINGLE(LOA)),_xlfn.SINGLE(LOAA),_xlfn.SINGLE(LOA)-_xlfn.SINGLE(FOC)-_xlfn.SINGLE(AOC))</f>
        <v>11.9</v>
      </c>
      <c r="W72" s="259">
        <f>IF(RL&gt;0,IF(RL&gt;'Look Ups'!Y$7,'Look Ups'!Y$8,('Look Ups'!Y$3*RL^3+'Look Ups'!Y$4*RL^2+'Look Ups'!Y$5*RL+'Look Ups'!Y$6)),0)</f>
        <v>0.29990624700000001</v>
      </c>
      <c r="X72" s="92">
        <v>1570</v>
      </c>
      <c r="Y72" s="262">
        <f ca="1">IF(WDATE&lt;(TODAY()-'Look Ups'!$D$4*365),-WM*'Look Ups'!$D$5/100,0)</f>
        <v>0</v>
      </c>
      <c r="Z72" s="93"/>
      <c r="AA72" s="93"/>
      <c r="AB72" s="75"/>
      <c r="AC72" s="265">
        <f>WCD+NC*'Look Ups'!$AF$3</f>
        <v>0</v>
      </c>
      <c r="AD72" s="265">
        <f ca="1">IF(RL&lt;'Look Ups'!AM$3,'Look Ups'!AM$4,IF(RL&gt;'Look Ups'!AM$5,'Look Ups'!AM$6,(RL-'Look Ups'!AM$3)/('Look Ups'!AM$5-'Look Ups'!AM$3)*('Look Ups'!AM$6-'Look Ups'!AM$4)+'Look Ups'!AM$4))/100*WS</f>
        <v>174.12727272727264</v>
      </c>
      <c r="AE72" s="266">
        <f ca="1">WM+WP+WE</f>
        <v>1570</v>
      </c>
      <c r="AF72" s="267">
        <f ca="1">_xlfn.SINGLE(WS)+IF(_xlfn.SINGLE(TCW)&gt;=_xlfn.SINGLE(CWA),_xlfn.SINGLE(CWA),_xlfn.SINGLE(TCW))</f>
        <v>1570</v>
      </c>
      <c r="AG72" s="94" t="s">
        <v>145</v>
      </c>
      <c r="AH72" s="95" t="s">
        <v>146</v>
      </c>
      <c r="AI72" s="96" t="s">
        <v>147</v>
      </c>
      <c r="AJ72" s="218"/>
      <c r="AK72" s="273">
        <f>IF(C72="",0,VLOOKUP(AG72,'Look Ups'!$F$3:$G$6,2,0)*VLOOKUP(AH72,'Look Ups'!$I$3:$J$5,2,0)*VLOOKUP(AI72,'Look Ups'!$L$3:$M$7,2,0)*IF(AJ72="",1,VLOOKUP(AJ72,'Look Ups'!$O$3:$P$4,2,0)))</f>
        <v>1</v>
      </c>
      <c r="AL72" s="83">
        <v>17.62</v>
      </c>
      <c r="AM72" s="91">
        <v>17.22</v>
      </c>
      <c r="AN72" s="91">
        <v>4.92</v>
      </c>
      <c r="AO72" s="91">
        <v>1.97</v>
      </c>
      <c r="AP72" s="91">
        <v>0.23</v>
      </c>
      <c r="AQ72" s="91">
        <v>17.55</v>
      </c>
      <c r="AR72" s="91">
        <v>0.27</v>
      </c>
      <c r="AS72" s="91">
        <v>4.9800000000000004</v>
      </c>
      <c r="AT72" s="91">
        <v>0.02</v>
      </c>
      <c r="AU72" s="91">
        <v>0.77</v>
      </c>
      <c r="AV72" s="91" t="s">
        <v>148</v>
      </c>
      <c r="AW72" s="97"/>
      <c r="AX72" s="256">
        <f>P+ER</f>
        <v>17.57</v>
      </c>
      <c r="AY72" s="256">
        <f>P*0.375*MC</f>
        <v>5.0675625000000011</v>
      </c>
      <c r="AZ72" s="275">
        <f>IF(C72="",0,(0.5*(_ML1*LPM)+0.5*(_ML1*HB)+0.66*(P*PR)+0.66*(_ML2*RDM)+0.66*(E*ER))*VLOOKUP(BATT,'Look Ups'!$U$3:$V$4,2,0))</f>
        <v>66.508042000000003</v>
      </c>
      <c r="BA72" s="98"/>
      <c r="BB72" s="99"/>
      <c r="BC72" s="83">
        <v>13.05</v>
      </c>
      <c r="BD72" s="91">
        <v>3.39</v>
      </c>
      <c r="BE72" s="91">
        <v>3.45</v>
      </c>
      <c r="BF72" s="91">
        <v>0</v>
      </c>
      <c r="BG72" s="91">
        <v>12.68</v>
      </c>
      <c r="BH72" s="91">
        <v>12.84</v>
      </c>
      <c r="BI72" s="91">
        <v>0.21</v>
      </c>
      <c r="BJ72" s="91">
        <v>0.05</v>
      </c>
      <c r="BK72" s="91">
        <v>0</v>
      </c>
      <c r="BL72" s="87"/>
      <c r="BM72" s="275">
        <f>(0.5*LL*LPG)+(0.5*_LG1*HG)+(0.66*LL*LLRG)+(0.66*FG*FRG)+(IF((HG&gt;0),(0.66*_LG2*LRG),(0.66*_LG1*LRG)))</f>
        <v>23.874870000000001</v>
      </c>
      <c r="BN72" s="282"/>
      <c r="BO72" s="283"/>
      <c r="BP72" s="284"/>
      <c r="BQ72" s="284"/>
      <c r="BR72" s="283"/>
      <c r="BS72" s="284"/>
      <c r="BT72" s="284"/>
      <c r="BU72" s="280">
        <f>(0.5*LLS*LPS)+(0.66*LLS*LLRS)+(0.66*LS*LRS)+(0.66*FS*FRS)</f>
        <v>0</v>
      </c>
      <c r="BV72" s="285"/>
      <c r="BW72" s="283"/>
      <c r="BX72" s="283"/>
      <c r="BY72" s="283"/>
      <c r="BZ72" s="283"/>
      <c r="CA72" s="283"/>
      <c r="CB72" s="283"/>
      <c r="CC72" s="275">
        <f>(0.5*LLD*LPD)+(0.66*LLD*LLRD)+(0.66*LCHD*LRD)+(0.66*FD*FRD)</f>
        <v>0</v>
      </c>
      <c r="CD72" s="98"/>
      <c r="CE72" s="91"/>
      <c r="CF72" s="91"/>
      <c r="CG72" s="91"/>
      <c r="CH72" s="266" t="str">
        <f>IF(SF&gt;0,SMG/SF*100,"")</f>
        <v/>
      </c>
      <c r="CI72" s="283"/>
      <c r="CJ72" s="280">
        <f>SF*(_SL1+_SL2)/4+(SMG-SF/2)*(_SL1+_SL2)/3</f>
        <v>0</v>
      </c>
      <c r="CK72" s="83">
        <v>10.86</v>
      </c>
      <c r="CL72" s="91">
        <v>18.04</v>
      </c>
      <c r="CM72" s="91">
        <v>15.48</v>
      </c>
      <c r="CN72" s="91">
        <v>6.6</v>
      </c>
      <c r="CO72" s="256">
        <f>IF(SCRF&gt;0,SCRMG/SCRF*100,"")</f>
        <v>60.773480662983424</v>
      </c>
      <c r="CP72" s="283"/>
      <c r="CQ72" s="256">
        <f>SCRF*(SCRL1+SCRL2)/4+(SCRMG-SCRF/2)*(SCRL1+SCRL2)/3</f>
        <v>104.07959999999999</v>
      </c>
      <c r="CR72" s="256" t="str">
        <f>IF(CO72&lt;'Look Ups'!$AC$4,"Yes","No")</f>
        <v>No</v>
      </c>
      <c r="CS72" s="267">
        <f>IF(CR72="Yes",MIN(150,('Look Ups'!$AC$4-PSCR)/('Look Ups'!$AC$4-'Look Ups'!$AC$3)*100),0)</f>
        <v>0</v>
      </c>
      <c r="CT72" s="83"/>
      <c r="CU72" s="91"/>
      <c r="CV72" s="91"/>
      <c r="CW72" s="91"/>
      <c r="CX72" s="256" t="str">
        <f>IF(USCRF&gt;0,USCRMG/USCRF*100,"")</f>
        <v/>
      </c>
      <c r="CY72" s="293">
        <f>IF(PUSCR&lt;'Look Ups'!$AC$4,MIN(150,('Look Ups'!$AC$4-PUSCR)/('Look Ups'!$AC$4-'Look Ups'!$AC$3)*100),0)</f>
        <v>0</v>
      </c>
      <c r="CZ72" s="275">
        <f>IF(PUSCR&lt;'Look Ups'!$AC$4,USCRF*(USCRL1+USCRL2)/4+(USCRMG-USCRF/2)*(USCRL1+USCRL2)/3,0)</f>
        <v>0</v>
      </c>
      <c r="DA72" s="294">
        <f>IF(ZVAL=1,1,IF(LPM&gt;0,0.64*((AM+MAM)/(E+(MC/2))^2)^0.3,0))</f>
        <v>1</v>
      </c>
      <c r="DB72" s="256">
        <f>0.65*((AM+MAM)*EFM)+0.35*((AM+MAM)*ZVAL)</f>
        <v>71.575604499999997</v>
      </c>
      <c r="DC72" s="256">
        <f>IF(ZVAL=1,1,IF(LPG&gt;0,0.72*(AG/(LPG^2))^0.3,0))</f>
        <v>1</v>
      </c>
      <c r="DD72" s="256">
        <f>AG*EFG</f>
        <v>23.874870000000001</v>
      </c>
      <c r="DE72" s="256">
        <f>IF(AZ72&gt;0,'Look Ups'!$S$3,0)</f>
        <v>1</v>
      </c>
      <c r="DF72" s="256">
        <f>IF(LPS&gt;0,0.72*(AS/(LPS^2))^0.3,0)</f>
        <v>0</v>
      </c>
      <c r="DG72" s="256">
        <f>EFS*AS</f>
        <v>0</v>
      </c>
      <c r="DH72" s="256">
        <f>IF(LPD&gt;0,0.72*(AD/(LPD^2))^0.3,0)</f>
        <v>0</v>
      </c>
      <c r="DI72" s="280">
        <f>IF((AD-AG)&gt;0,0.3*(AD-AG)*EFD,0)</f>
        <v>0</v>
      </c>
      <c r="DJ72" s="295" t="str">
        <f>IF((SCRF=0),"-",IF(AND(MSASC&gt;AG,SCRMG&lt;(0.75*SCRF)),"valid","ERROR"))</f>
        <v>valid</v>
      </c>
      <c r="DK72" s="266" t="str">
        <f>IF((SF=0),"-",IF((SMG&lt;(0.75*SF)),"ERROR",IF(AND(MSASP&gt;MSASC,MSASP&gt;AG,MSASP&gt;=0.36*RSAM),"valid","Small")))</f>
        <v>-</v>
      </c>
      <c r="DL72" s="267" t="str">
        <f>IF(C72="","",CONCATENATE("MG",IF(FLSCR="valid","Scr",""),IF(FLSPI="valid","SP","")))</f>
        <v>MGScr</v>
      </c>
      <c r="DM72" s="294">
        <f>RSAM+RSAG</f>
        <v>95.450474499999999</v>
      </c>
      <c r="DN72" s="256">
        <f>IF(MSASP&gt;0,'Look Ups'!$AI$4*(ZVAL*MSASP-RSAG),0)</f>
        <v>0</v>
      </c>
      <c r="DO72" s="256">
        <f>IF(AND(MSASC&gt;0,(MSASC&gt;=0.36*RSAM)),('Look Ups'!$AI$3*(ZVAL*MSASC-RSAG)),(0))</f>
        <v>28.071655499999991</v>
      </c>
      <c r="DP72" s="256">
        <f>IF(MSASP&gt;0,'Look Ups'!$AI$5*(ZVAL*MSASP-RSAG),0)</f>
        <v>0</v>
      </c>
      <c r="DQ72" s="256">
        <f>IF(MSASC&gt;0,'Look Ups'!$AI$6*(MSASC-RSAG),0)</f>
        <v>5.6143310999999994</v>
      </c>
      <c r="DR72" s="280">
        <f>'Look Ups'!$AI$7*MAX(IF(MSAUSC&gt;0,EUSC/100*(MSAUSC-RSAG),0),IF(CR72="Yes",ELSC/100*(MSASC-RSAG),0))</f>
        <v>0</v>
      </c>
      <c r="DS72" s="280">
        <f>0.36*RSAM</f>
        <v>25.767217619999997</v>
      </c>
      <c r="DT72" s="296">
        <f>_xlfn.IFS(SPC="MG",RAMG+DS72,SPC="MGScr",RAMG+RASCO,SPC="MGSp",RAMG+RASPO,SPC="MGScrSp",RAMG+RASPSC+RASCR)+RAUSC+RSAST+RSAD+RSAMZ+RSA2M</f>
        <v>123.52212999999999</v>
      </c>
      <c r="DU72" s="63"/>
    </row>
    <row r="73" spans="1:125" ht="15.6" customHeight="1" x14ac:dyDescent="0.3">
      <c r="A73" s="4"/>
      <c r="B73" s="84"/>
      <c r="C73" s="64" t="s">
        <v>346</v>
      </c>
      <c r="D73" s="85" t="s">
        <v>347</v>
      </c>
      <c r="E73" s="86" t="s">
        <v>348</v>
      </c>
      <c r="F73" s="252">
        <f ca="1">IF(RW=0,0,ROUND(DLF*0.93*RL^LF*RSA^0.4/RW^0.325,3))</f>
        <v>0.82599999999999996</v>
      </c>
      <c r="G73" s="252" t="str">
        <f ca="1">IF(OR(FLSCR="ERROR",FLSPI="ERROR"),"No",IF(TODAY()-'Look Ups'!$D$4*365&gt;I73,"WP Applied","Yes"))</f>
        <v>Yes</v>
      </c>
      <c r="H73" s="253" t="str">
        <f>IF(SPC="","",CONCATENATE("Main-Genoa",IF(FLSCR="valid",IF(OR(CR73="Yes",MSAUSC&gt;0),"-Screacher (Upwind)","-Screacher"),""),IF(FLSPI="valid","-Spinnaker",""),IF(RSAMZ&gt;0,"-Mizzen",""),IF(RSA2M&gt;0,"-Second Main",""),IF(AS&gt;0,"-Staysail",""),IF(AD&gt;0,"-Drifter","")))</f>
        <v>Main-Genoa-Spinnaker</v>
      </c>
      <c r="I73" s="108">
        <v>44633</v>
      </c>
      <c r="J73" s="1">
        <v>44633</v>
      </c>
      <c r="K73" s="87" t="s">
        <v>349</v>
      </c>
      <c r="L73" s="87" t="s">
        <v>176</v>
      </c>
      <c r="M73" s="207"/>
      <c r="N73" s="88" t="s">
        <v>143</v>
      </c>
      <c r="O73" s="88" t="s">
        <v>144</v>
      </c>
      <c r="P73" s="100"/>
      <c r="Q73" s="90">
        <v>7.42</v>
      </c>
      <c r="R73" s="87"/>
      <c r="S73" s="256">
        <f>IF((LOAA&gt;LOA),0.025*LOAA,0.025*LOA)</f>
        <v>0.1855</v>
      </c>
      <c r="T73" s="91">
        <v>0.35</v>
      </c>
      <c r="U73" s="91"/>
      <c r="V73" s="258">
        <f>IF((_xlfn.SINGLE(LOAA)&gt;_xlfn.SINGLE(LOA)),_xlfn.SINGLE(LOAA),_xlfn.SINGLE(LOA)-_xlfn.SINGLE(FOC)-_xlfn.SINGLE(AOC))</f>
        <v>7.07</v>
      </c>
      <c r="W73" s="259">
        <f>IF(RL&gt;0,IF(RL&gt;'Look Ups'!Y$7,'Look Ups'!Y$8,('Look Ups'!Y$3*RL^3+'Look Ups'!Y$4*RL^2+'Look Ups'!Y$5*RL+'Look Ups'!Y$6)),0)</f>
        <v>0.29004811701900002</v>
      </c>
      <c r="X73" s="92">
        <v>1057</v>
      </c>
      <c r="Y73" s="262">
        <f ca="1">IF(WDATE&lt;(TODAY()-'Look Ups'!$D$4*365),-WM*'Look Ups'!$D$5/100,0)</f>
        <v>0</v>
      </c>
      <c r="Z73" s="87"/>
      <c r="AA73" s="93"/>
      <c r="AB73" s="75"/>
      <c r="AC73" s="265">
        <f>WCD+NC*'Look Ups'!$AF$3</f>
        <v>0</v>
      </c>
      <c r="AD73" s="265">
        <f ca="1">IF(RL&lt;'Look Ups'!AM$3,'Look Ups'!AM$4,IF(RL&gt;'Look Ups'!AM$5,'Look Ups'!AM$6,(RL-'Look Ups'!AM$3)/('Look Ups'!AM$5-'Look Ups'!AM$3)*('Look Ups'!AM$6-'Look Ups'!AM$4)+'Look Ups'!AM$4))/100*WS</f>
        <v>302.87854545454547</v>
      </c>
      <c r="AE73" s="266">
        <f ca="1">WM+WP+WE</f>
        <v>1057</v>
      </c>
      <c r="AF73" s="267">
        <f ca="1">_xlfn.SINGLE(WS)+IF(_xlfn.SINGLE(TCW)&gt;=_xlfn.SINGLE(CWA),_xlfn.SINGLE(CWA),_xlfn.SINGLE(TCW))</f>
        <v>1057</v>
      </c>
      <c r="AG73" s="94" t="s">
        <v>145</v>
      </c>
      <c r="AH73" s="95" t="s">
        <v>146</v>
      </c>
      <c r="AI73" s="96" t="s">
        <v>147</v>
      </c>
      <c r="AJ73" s="218"/>
      <c r="AK73" s="273">
        <f>IF(C73="",0,VLOOKUP(AG73,'Look Ups'!$F$3:$G$6,2,0)*VLOOKUP(AH73,'Look Ups'!$I$3:$J$5,2,0)*VLOOKUP(AI73,'Look Ups'!$L$3:$M$7,2,0)*IF(AJ73="",1,VLOOKUP(AJ73,'Look Ups'!$O$3:$P$4,2,0)))</f>
        <v>1</v>
      </c>
      <c r="AL73" s="83">
        <v>9.83</v>
      </c>
      <c r="AM73" s="91">
        <v>9.5350000000000001</v>
      </c>
      <c r="AN73" s="91">
        <v>3.11</v>
      </c>
      <c r="AO73" s="91">
        <v>1.2150000000000001</v>
      </c>
      <c r="AP73" s="91">
        <v>0.3</v>
      </c>
      <c r="AQ73" s="91">
        <v>9.4649999999999999</v>
      </c>
      <c r="AR73" s="91">
        <v>0.115</v>
      </c>
      <c r="AS73" s="91">
        <v>3.2349999999999999</v>
      </c>
      <c r="AT73" s="91"/>
      <c r="AU73" s="91">
        <v>0.5</v>
      </c>
      <c r="AV73" s="91" t="s">
        <v>148</v>
      </c>
      <c r="AW73" s="97"/>
      <c r="AX73" s="256">
        <f>P+ER</f>
        <v>9.4649999999999999</v>
      </c>
      <c r="AY73" s="256">
        <f>P*0.375*MC</f>
        <v>1.7746875</v>
      </c>
      <c r="AZ73" s="275">
        <f>IF(C73="",0,(0.5*(_ML1*LPM)+0.5*(_ML1*HB)+0.66*(P*PR)+0.66*(_ML2*RDM)+0.66*(E*ER))*VLOOKUP(BATT,'Look Ups'!$U$3:$V$4,2,0))</f>
        <v>23.863698500000002</v>
      </c>
      <c r="BA73" s="98"/>
      <c r="BB73" s="99"/>
      <c r="BC73" s="83">
        <v>8.6999999999999993</v>
      </c>
      <c r="BD73" s="91">
        <v>2.81</v>
      </c>
      <c r="BE73" s="91">
        <v>3.1</v>
      </c>
      <c r="BF73" s="91">
        <v>0.13</v>
      </c>
      <c r="BG73" s="91">
        <v>7.86</v>
      </c>
      <c r="BH73" s="91"/>
      <c r="BI73" s="91"/>
      <c r="BJ73" s="91">
        <v>0.28999999999999998</v>
      </c>
      <c r="BK73" s="91">
        <v>0.03</v>
      </c>
      <c r="BL73" s="97"/>
      <c r="BM73" s="275">
        <f>(0.5*LL*LPG)+(0.5*_LG1*HG)+(0.66*LL*LLRG)+(0.66*FG*FRG)+(IF((HG&gt;0),(0.66*_LG2*LRG),(0.66*_LG1*LRG)))</f>
        <v>14.166143999999999</v>
      </c>
      <c r="BN73" s="282"/>
      <c r="BO73" s="283"/>
      <c r="BP73" s="284"/>
      <c r="BQ73" s="284"/>
      <c r="BR73" s="283"/>
      <c r="BS73" s="284"/>
      <c r="BT73" s="284"/>
      <c r="BU73" s="280">
        <f>(0.5*LLS*LPS)+(0.66*LLS*LLRS)+(0.66*LS*LRS)+(0.66*FS*FRS)</f>
        <v>0</v>
      </c>
      <c r="BV73" s="285"/>
      <c r="BW73" s="283"/>
      <c r="BX73" s="283"/>
      <c r="BY73" s="283"/>
      <c r="BZ73" s="283"/>
      <c r="CA73" s="283"/>
      <c r="CB73" s="283"/>
      <c r="CC73" s="275">
        <f>(0.5*LLD*LPD)+(0.66*LLD*LLRD)+(0.66*LCHD*LRD)+(0.66*FD*FRD)</f>
        <v>0</v>
      </c>
      <c r="CD73" s="98">
        <v>6.95</v>
      </c>
      <c r="CE73" s="91">
        <v>10.85</v>
      </c>
      <c r="CF73" s="91">
        <v>10.11</v>
      </c>
      <c r="CG73" s="91">
        <v>5.92</v>
      </c>
      <c r="CH73" s="266">
        <f>IF(SF&gt;0,SMG/SF*100,"")</f>
        <v>85.17985611510791</v>
      </c>
      <c r="CI73" s="283"/>
      <c r="CJ73" s="280">
        <f>SF*(_SL1+_SL2)/4+(SMG-SF/2)*(_SL1+_SL2)/3</f>
        <v>53.500399999999999</v>
      </c>
      <c r="CK73" s="83"/>
      <c r="CL73" s="91"/>
      <c r="CM73" s="91"/>
      <c r="CN73" s="91"/>
      <c r="CO73" s="256" t="str">
        <f>IF(SCRF&gt;0,SCRMG/SCRF*100,"")</f>
        <v/>
      </c>
      <c r="CP73" s="283"/>
      <c r="CQ73" s="256">
        <f>SCRF*(SCRL1+SCRL2)/4+(SCRMG-SCRF/2)*(SCRL1+SCRL2)/3</f>
        <v>0</v>
      </c>
      <c r="CR73" s="256" t="str">
        <f>IF(CO73&lt;'Look Ups'!$AC$4,"Yes","No")</f>
        <v>No</v>
      </c>
      <c r="CS73" s="267">
        <f>IF(CR73="Yes",MIN(150,('Look Ups'!$AC$4-PSCR)/('Look Ups'!$AC$4-'Look Ups'!$AC$3)*100),0)</f>
        <v>0</v>
      </c>
      <c r="CT73" s="83"/>
      <c r="CU73" s="91"/>
      <c r="CV73" s="91"/>
      <c r="CW73" s="91"/>
      <c r="CX73" s="256" t="str">
        <f>IF(USCRF&gt;0,USCRMG/USCRF*100,"")</f>
        <v/>
      </c>
      <c r="CY73" s="293">
        <f>IF(PUSCR&lt;'Look Ups'!$AC$4,MIN(150,('Look Ups'!$AC$4-PUSCR)/('Look Ups'!$AC$4-'Look Ups'!$AC$3)*100),0)</f>
        <v>0</v>
      </c>
      <c r="CZ73" s="275">
        <f>IF(PUSCR&lt;'Look Ups'!$AC$4,USCRF*(USCRL1+USCRL2)/4+(USCRMG-USCRF/2)*(USCRL1+USCRL2)/3,0)</f>
        <v>0</v>
      </c>
      <c r="DA73" s="294">
        <f>IF(ZVAL=1,1,IF(LPM&gt;0,0.64*((AM+MAM)/(E+(MC/2))^2)^0.3,0))</f>
        <v>1</v>
      </c>
      <c r="DB73" s="256">
        <f>0.65*((AM+MAM)*EFM)+0.35*((AM+MAM)*ZVAL)</f>
        <v>25.638386000000001</v>
      </c>
      <c r="DC73" s="256">
        <f>IF(ZVAL=1,1,IF(LPG&gt;0,0.72*(AG/(LPG^2))^0.3,0))</f>
        <v>1</v>
      </c>
      <c r="DD73" s="256">
        <f>AG*EFG</f>
        <v>14.166143999999999</v>
      </c>
      <c r="DE73" s="256">
        <f>IF(AZ73&gt;0,'Look Ups'!$S$3,0)</f>
        <v>1</v>
      </c>
      <c r="DF73" s="256">
        <f>IF(LPS&gt;0,0.72*(AS/(LPS^2))^0.3,0)</f>
        <v>0</v>
      </c>
      <c r="DG73" s="256">
        <f>EFS*AS</f>
        <v>0</v>
      </c>
      <c r="DH73" s="256">
        <f>IF(LPD&gt;0,0.72*(AD/(LPD^2))^0.3,0)</f>
        <v>0</v>
      </c>
      <c r="DI73" s="280">
        <f>IF((AD-AG)&gt;0,0.3*(AD-AG)*EFD,0)</f>
        <v>0</v>
      </c>
      <c r="DJ73" s="295" t="str">
        <f>IF((SCRF=0),"-",IF(AND(MSASC&gt;AG,SCRMG&lt;(0.75*SCRF)),"valid","ERROR"))</f>
        <v>-</v>
      </c>
      <c r="DK73" s="266" t="str">
        <f>IF((SF=0),"-",IF((SMG&lt;(0.75*SF)),"ERROR",IF(AND(MSASP&gt;MSASC,MSASP&gt;AG,MSASP&gt;=0.36*RSAM),"valid","Small")))</f>
        <v>valid</v>
      </c>
      <c r="DL73" s="267" t="str">
        <f>IF(C73="","",CONCATENATE("MG",IF(FLSCR="valid","Scr",""),IF(FLSPI="valid","SP","")))</f>
        <v>MGSP</v>
      </c>
      <c r="DM73" s="294">
        <f>RSAM+RSAG</f>
        <v>39.80453</v>
      </c>
      <c r="DN73" s="256">
        <f>IF(MSASP&gt;0,'Look Ups'!$AI$4*(ZVAL*MSASP-RSAG),0)</f>
        <v>11.800276799999999</v>
      </c>
      <c r="DO73" s="256">
        <f>IF(AND(MSASC&gt;0,(MSASC&gt;=0.36*RSAM)),('Look Ups'!$AI$3*(ZVAL*MSASC-RSAG)),(0))</f>
        <v>0</v>
      </c>
      <c r="DP73" s="256">
        <f>IF(MSASP&gt;0,'Look Ups'!$AI$5*(ZVAL*MSASP-RSAG),0)</f>
        <v>11.013591679999999</v>
      </c>
      <c r="DQ73" s="256">
        <f>IF(MSASC&gt;0,'Look Ups'!$AI$6*(MSASC-RSAG),0)</f>
        <v>0</v>
      </c>
      <c r="DR73" s="280">
        <f>'Look Ups'!$AI$7*MAX(IF(MSAUSC&gt;0,EUSC/100*(MSAUSC-RSAG),0),IF(CR73="Yes",ELSC/100*(MSASC-RSAG),0))</f>
        <v>0</v>
      </c>
      <c r="DS73" s="280">
        <f>0.36*RSAM</f>
        <v>9.2298189599999994</v>
      </c>
      <c r="DT73" s="296">
        <f>_xlfn.IFS(SPC="MG",RAMG+DS73,SPC="MGScr",RAMG+RASCO,SPC="MGSp",RAMG+RASPO,SPC="MGScrSp",RAMG+RASPSC+RASCR)+RAUSC+RSAST+RSAD+RSAMZ+RSA2M</f>
        <v>51.604806799999999</v>
      </c>
      <c r="DU73" s="63"/>
    </row>
    <row r="74" spans="1:125" ht="15.6" customHeight="1" x14ac:dyDescent="0.3">
      <c r="A74" s="4"/>
      <c r="B74" s="64"/>
      <c r="C74" s="64" t="s">
        <v>350</v>
      </c>
      <c r="D74" s="85" t="s">
        <v>351</v>
      </c>
      <c r="E74" s="86" t="s">
        <v>352</v>
      </c>
      <c r="F74" s="252">
        <f ca="1">IF(RW=0,0,ROUND(DLF*0.93*RL^LF*RSA^0.4/RW^0.325,3))</f>
        <v>1.03</v>
      </c>
      <c r="G74" s="252" t="str">
        <f ca="1">IF(OR(FLSCR="ERROR",FLSPI="ERROR"),"No",IF(TODAY()-'Look Ups'!$D$4*365&gt;I74,"WP Applied","Yes"))</f>
        <v>Yes</v>
      </c>
      <c r="H74" s="253" t="str">
        <f>IF(SPC="","",CONCATENATE("Main-Genoa",IF(FLSCR="valid",IF(OR(CR74="Yes",MSAUSC&gt;0),"-Screacher (Upwind)","-Screacher"),""),IF(FLSPI="valid","-Spinnaker",""),IF(RSAMZ&gt;0,"-Mizzen",""),IF(RSA2M&gt;0,"-Second Main",""),IF(AS&gt;0,"-Staysail",""),IF(AD&gt;0,"-Drifter","")))</f>
        <v>Main-Genoa-Screacher (Upwind)-Spinnaker</v>
      </c>
      <c r="I74" s="1">
        <v>43175</v>
      </c>
      <c r="J74" s="1">
        <v>44099</v>
      </c>
      <c r="K74" s="87" t="s">
        <v>186</v>
      </c>
      <c r="L74" s="87" t="s">
        <v>176</v>
      </c>
      <c r="M74" s="207" t="s">
        <v>353</v>
      </c>
      <c r="N74" s="88" t="s">
        <v>165</v>
      </c>
      <c r="O74" s="88"/>
      <c r="P74" s="100"/>
      <c r="Q74" s="90">
        <v>9.5399999999999991</v>
      </c>
      <c r="R74" s="87"/>
      <c r="S74" s="256">
        <f>IF((LOAA&gt;LOA),0.025*LOAA,0.025*LOA)</f>
        <v>0.23849999999999999</v>
      </c>
      <c r="T74" s="91">
        <v>0.05</v>
      </c>
      <c r="U74" s="91"/>
      <c r="V74" s="258">
        <f>IF((_xlfn.SINGLE(LOAA)&gt;_xlfn.SINGLE(LOA)),_xlfn.SINGLE(LOAA),_xlfn.SINGLE(LOA)-_xlfn.SINGLE(FOC)-_xlfn.SINGLE(AOC))</f>
        <v>9.4899999999999984</v>
      </c>
      <c r="W74" s="259">
        <f>IF(RL&gt;0,IF(RL&gt;'Look Ups'!Y$7,'Look Ups'!Y$8,('Look Ups'!Y$3*RL^3+'Look Ups'!Y$4*RL^2+'Look Ups'!Y$5*RL+'Look Ups'!Y$6)),0)</f>
        <v>0.297674981517</v>
      </c>
      <c r="X74" s="92">
        <v>1433</v>
      </c>
      <c r="Y74" s="262">
        <f ca="1">IF(WDATE&lt;(TODAY()-'Look Ups'!$D$4*365),-WM*'Look Ups'!$D$5/100,0)</f>
        <v>0</v>
      </c>
      <c r="Z74" s="93"/>
      <c r="AA74" s="93"/>
      <c r="AB74" s="75"/>
      <c r="AC74" s="265">
        <f>WCD+NC*'Look Ups'!$AF$3</f>
        <v>0</v>
      </c>
      <c r="AD74" s="265">
        <f ca="1">IF(RL&lt;'Look Ups'!AM$3,'Look Ups'!AM$4,IF(RL&gt;'Look Ups'!AM$5,'Look Ups'!AM$6,(RL-'Look Ups'!AM$3)/('Look Ups'!AM$5-'Look Ups'!AM$3)*('Look Ups'!AM$6-'Look Ups'!AM$4)+'Look Ups'!AM$4))/100*WS</f>
        <v>284.51563636363642</v>
      </c>
      <c r="AE74" s="266">
        <f ca="1">WM+WP+WE</f>
        <v>1433</v>
      </c>
      <c r="AF74" s="267">
        <f ca="1">_xlfn.SINGLE(WS)+IF(_xlfn.SINGLE(TCW)&gt;=_xlfn.SINGLE(CWA),_xlfn.SINGLE(CWA),_xlfn.SINGLE(TCW))</f>
        <v>1433</v>
      </c>
      <c r="AG74" s="94" t="s">
        <v>145</v>
      </c>
      <c r="AH74" s="95" t="s">
        <v>146</v>
      </c>
      <c r="AI74" s="96" t="s">
        <v>147</v>
      </c>
      <c r="AJ74" s="218"/>
      <c r="AK74" s="273">
        <f>IF(C74="",0,VLOOKUP(AG74,'Look Ups'!$F$3:$G$6,2,0)*VLOOKUP(AH74,'Look Ups'!$I$3:$J$5,2,0)*VLOOKUP(AI74,'Look Ups'!$L$3:$M$7,2,0)*IF(AJ74="",1,VLOOKUP(AJ74,'Look Ups'!$O$3:$P$4,2,0)))</f>
        <v>1</v>
      </c>
      <c r="AL74" s="83">
        <v>14.05</v>
      </c>
      <c r="AM74" s="91">
        <v>13.73</v>
      </c>
      <c r="AN74" s="91">
        <v>3.77</v>
      </c>
      <c r="AO74" s="91">
        <v>1.86</v>
      </c>
      <c r="AP74" s="91">
        <v>0.31</v>
      </c>
      <c r="AQ74" s="91">
        <v>13.87</v>
      </c>
      <c r="AR74" s="91">
        <v>0.15</v>
      </c>
      <c r="AS74" s="91">
        <v>3.9</v>
      </c>
      <c r="AT74" s="91">
        <v>0</v>
      </c>
      <c r="AU74" s="91">
        <v>0.60000000000000009</v>
      </c>
      <c r="AV74" s="91" t="s">
        <v>148</v>
      </c>
      <c r="AW74" s="97">
        <v>0</v>
      </c>
      <c r="AX74" s="256">
        <f>P+ER</f>
        <v>13.87</v>
      </c>
      <c r="AY74" s="256">
        <f>P*0.375*MC</f>
        <v>3.1207500000000006</v>
      </c>
      <c r="AZ74" s="275">
        <f>IF(C74="",0,(0.5*(_ML1*LPM)+0.5*(_ML1*HB)+0.66*(P*PR)+0.66*(_ML2*RDM)+0.66*(E*ER))*VLOOKUP(BATT,'Look Ups'!$U$3:$V$4,2,0))</f>
        <v>43.733038000000015</v>
      </c>
      <c r="BA74" s="98"/>
      <c r="BB74" s="99"/>
      <c r="BC74" s="83">
        <v>11.96</v>
      </c>
      <c r="BD74" s="91">
        <v>3.2</v>
      </c>
      <c r="BE74" s="91">
        <v>3.27</v>
      </c>
      <c r="BF74" s="91">
        <v>0.15</v>
      </c>
      <c r="BG74" s="91">
        <v>11.55</v>
      </c>
      <c r="BH74" s="91"/>
      <c r="BI74" s="91"/>
      <c r="BJ74" s="91">
        <v>-0.08</v>
      </c>
      <c r="BK74" s="91">
        <v>0</v>
      </c>
      <c r="BL74" s="97">
        <v>0</v>
      </c>
      <c r="BM74" s="275">
        <f>(0.5*LL*LPG)+(0.5*_LG1*HG)+(0.66*LL*LLRG)+(0.66*FG*FRG)+(IF((HG&gt;0),(0.66*_LG2*LRG),(0.66*_LG1*LRG)))</f>
        <v>18.849890000000006</v>
      </c>
      <c r="BN74" s="282"/>
      <c r="BO74" s="283"/>
      <c r="BP74" s="284"/>
      <c r="BQ74" s="284"/>
      <c r="BR74" s="283"/>
      <c r="BS74" s="284"/>
      <c r="BT74" s="284"/>
      <c r="BU74" s="280">
        <f>(0.5*LLS*LPS)+(0.66*LLS*LLRS)+(0.66*LS*LRS)+(0.66*FS*FRS)</f>
        <v>0</v>
      </c>
      <c r="BV74" s="285"/>
      <c r="BW74" s="283"/>
      <c r="BX74" s="283"/>
      <c r="BY74" s="283"/>
      <c r="BZ74" s="283"/>
      <c r="CA74" s="283"/>
      <c r="CB74" s="283"/>
      <c r="CC74" s="275">
        <f>(0.5*LLD*LPD)+(0.66*LLD*LLRD)+(0.66*LCHD*LRD)+(0.66*FD*FRD)</f>
        <v>0</v>
      </c>
      <c r="CD74" s="98">
        <v>9</v>
      </c>
      <c r="CE74" s="91">
        <v>15.25</v>
      </c>
      <c r="CF74" s="91">
        <v>12.95</v>
      </c>
      <c r="CG74" s="91">
        <v>7.69</v>
      </c>
      <c r="CH74" s="266">
        <f>IF(SF&gt;0,SMG/SF*100,"")</f>
        <v>85.444444444444443</v>
      </c>
      <c r="CI74" s="283"/>
      <c r="CJ74" s="280">
        <f>SF*(_SL1+_SL2)/4+(SMG-SF/2)*(_SL1+_SL2)/3</f>
        <v>93.436000000000007</v>
      </c>
      <c r="CK74" s="83">
        <v>5.41</v>
      </c>
      <c r="CL74" s="91">
        <v>12.87</v>
      </c>
      <c r="CM74" s="91">
        <v>11.81</v>
      </c>
      <c r="CN74" s="91">
        <v>2.74</v>
      </c>
      <c r="CO74" s="256">
        <f>IF(SCRF&gt;0,SCRMG/SCRF*100,"")</f>
        <v>50.646950092421442</v>
      </c>
      <c r="CP74" s="283"/>
      <c r="CQ74" s="256">
        <f>SCRF*(SCRL1+SCRL2)/4+(SCRMG-SCRF/2)*(SCRL1+SCRL2)/3</f>
        <v>33.667633333333335</v>
      </c>
      <c r="CR74" s="256" t="str">
        <f>IF(CO74&lt;'Look Ups'!$AC$4,"Yes","No")</f>
        <v>Yes</v>
      </c>
      <c r="CS74" s="267">
        <f>IF(CR74="Yes",MIN(150,('Look Ups'!$AC$4-PSCR)/('Look Ups'!$AC$4-'Look Ups'!$AC$3)*100),0)</f>
        <v>27.06099815157117</v>
      </c>
      <c r="CT74" s="83"/>
      <c r="CU74" s="91"/>
      <c r="CV74" s="91"/>
      <c r="CW74" s="91"/>
      <c r="CX74" s="256" t="str">
        <f>IF(USCRF&gt;0,USCRMG/USCRF*100,"")</f>
        <v/>
      </c>
      <c r="CY74" s="293">
        <f>IF(PUSCR&lt;'Look Ups'!$AC$4,MIN(150,('Look Ups'!$AC$4-PUSCR)/('Look Ups'!$AC$4-'Look Ups'!$AC$3)*100),0)</f>
        <v>0</v>
      </c>
      <c r="CZ74" s="275">
        <f>IF(PUSCR&lt;'Look Ups'!$AC$4,USCRF*(USCRL1+USCRL2)/4+(USCRMG-USCRF/2)*(USCRL1+USCRL2)/3,0)</f>
        <v>0</v>
      </c>
      <c r="DA74" s="294">
        <f>IF(ZVAL=1,1,IF(LPM&gt;0,0.64*((AM+MAM)/(E+(MC/2))^2)^0.3,0))</f>
        <v>1</v>
      </c>
      <c r="DB74" s="256">
        <f>0.65*((AM+MAM)*EFM)+0.35*((AM+MAM)*ZVAL)</f>
        <v>46.853788000000016</v>
      </c>
      <c r="DC74" s="256">
        <f>IF(ZVAL=1,1,IF(LPG&gt;0,0.72*(AG/(LPG^2))^0.3,0))</f>
        <v>1</v>
      </c>
      <c r="DD74" s="256">
        <f>AG*EFG</f>
        <v>18.849890000000006</v>
      </c>
      <c r="DE74" s="256">
        <f>IF(AZ74&gt;0,'Look Ups'!$S$3,0)</f>
        <v>1</v>
      </c>
      <c r="DF74" s="256">
        <f>IF(LPS&gt;0,0.72*(AS/(LPS^2))^0.3,0)</f>
        <v>0</v>
      </c>
      <c r="DG74" s="256">
        <f>EFS*AS</f>
        <v>0</v>
      </c>
      <c r="DH74" s="256">
        <f>IF(LPD&gt;0,0.72*(AD/(LPD^2))^0.3,0)</f>
        <v>0</v>
      </c>
      <c r="DI74" s="280">
        <f>IF((AD-AG)&gt;0,0.3*(AD-AG)*EFD,0)</f>
        <v>0</v>
      </c>
      <c r="DJ74" s="295" t="str">
        <f>IF((SCRF=0),"-",IF(AND(MSASC&gt;AG,SCRMG&lt;(0.75*SCRF)),"valid","ERROR"))</f>
        <v>valid</v>
      </c>
      <c r="DK74" s="266" t="str">
        <f>IF((SF=0),"-",IF((SMG&lt;(0.75*SF)),"ERROR",IF(AND(MSASP&gt;MSASC,MSASP&gt;AG,MSASP&gt;=0.36*RSAM),"valid","Small")))</f>
        <v>valid</v>
      </c>
      <c r="DL74" s="267" t="str">
        <f>IF(C74="","",CONCATENATE("MG",IF(FLSCR="valid","Scr",""),IF(FLSPI="valid","SP","")))</f>
        <v>MGScrSP</v>
      </c>
      <c r="DM74" s="294">
        <f>RSAM+RSAG</f>
        <v>65.703678000000025</v>
      </c>
      <c r="DN74" s="256">
        <f>IF(MSASP&gt;0,'Look Ups'!$AI$4*(ZVAL*MSASP-RSAG),0)</f>
        <v>22.375833</v>
      </c>
      <c r="DO74" s="256">
        <f>IF(AND(MSASC&gt;0,(MSASC&gt;=0.36*RSAM)),('Look Ups'!$AI$3*(ZVAL*MSASC-RSAG)),(0))</f>
        <v>5.1862101666666645</v>
      </c>
      <c r="DP74" s="256">
        <f>IF(MSASP&gt;0,'Look Ups'!$AI$5*(ZVAL*MSASP-RSAG),0)</f>
        <v>20.884110800000002</v>
      </c>
      <c r="DQ74" s="256">
        <f>IF(MSASC&gt;0,'Look Ups'!$AI$6*(MSASC-RSAG),0)</f>
        <v>1.0372420333333332</v>
      </c>
      <c r="DR74" s="280">
        <f>'Look Ups'!$AI$7*MAX(IF(MSAUSC&gt;0,EUSC/100*(MSAUSC-RSAG),0),IF(CR74="Yes",ELSC/100*(MSASC-RSAG),0))</f>
        <v>1.0024573123844731</v>
      </c>
      <c r="DS74" s="280">
        <f>0.36*RSAM</f>
        <v>16.867363680000004</v>
      </c>
      <c r="DT74" s="296">
        <f>_xlfn.IFS(SPC="MG",RAMG+DS74,SPC="MGScr",RAMG+RASCO,SPC="MGSp",RAMG+RASPO,SPC="MGScrSp",RAMG+RASPSC+RASCR)+RAUSC+RSAST+RSAD+RSAMZ+RSA2M</f>
        <v>88.627488145717834</v>
      </c>
      <c r="DU74" s="63"/>
    </row>
    <row r="75" spans="1:125" ht="15.6" customHeight="1" x14ac:dyDescent="0.3">
      <c r="A75" s="4"/>
      <c r="B75" s="84"/>
      <c r="C75" s="64" t="s">
        <v>357</v>
      </c>
      <c r="D75" s="85" t="s">
        <v>238</v>
      </c>
      <c r="E75" s="86" t="s">
        <v>358</v>
      </c>
      <c r="F75" s="252">
        <f ca="1">IF(RW=0,0,ROUND(DLF*0.93*RL^LF*RSA^0.4/RW^0.325,3))</f>
        <v>0.73899999999999999</v>
      </c>
      <c r="G75" s="252" t="str">
        <f ca="1">IF(OR(FLSCR="ERROR",FLSPI="ERROR"),"No",IF(TODAY()-'Look Ups'!$D$4*365&gt;I75,"WP Applied","Yes"))</f>
        <v>Yes</v>
      </c>
      <c r="H75" s="253" t="str">
        <f>IF(SPC="","",CONCATENATE("Main-Genoa",IF(FLSCR="valid",IF(OR(CR75="Yes",MSAUSC&gt;0),"-Screacher (Upwind)","-Screacher"),""),IF(FLSPI="valid","-Spinnaker",""),IF(RSAMZ&gt;0,"-Mizzen",""),IF(RSA2M&gt;0,"-Second Main",""),IF(AS&gt;0,"-Staysail",""),IF(AD&gt;0,"-Drifter","")))</f>
        <v>Main-Genoa-Spinnaker</v>
      </c>
      <c r="I75" s="1">
        <v>42680</v>
      </c>
      <c r="J75" s="1">
        <v>42683</v>
      </c>
      <c r="K75" s="87" t="s">
        <v>359</v>
      </c>
      <c r="L75" s="87" t="s">
        <v>142</v>
      </c>
      <c r="M75" s="207"/>
      <c r="N75" s="97" t="s">
        <v>143</v>
      </c>
      <c r="O75" s="97" t="s">
        <v>154</v>
      </c>
      <c r="P75" s="89"/>
      <c r="Q75" s="90">
        <v>6</v>
      </c>
      <c r="R75" s="87"/>
      <c r="S75" s="256">
        <f>IF((LOAA&gt;LOA),0.025*LOAA,0.025*LOA)</f>
        <v>0.15000000000000002</v>
      </c>
      <c r="T75" s="117"/>
      <c r="U75" s="117"/>
      <c r="V75" s="258">
        <f>IF((_xlfn.SINGLE(LOAA)&gt;_xlfn.SINGLE(LOA)),_xlfn.SINGLE(LOAA),_xlfn.SINGLE(LOA)-_xlfn.SINGLE(FOC)-_xlfn.SINGLE(AOC))</f>
        <v>6</v>
      </c>
      <c r="W75" s="259">
        <f>IF(RL&gt;0,IF(RL&gt;'Look Ups'!Y$7,'Look Ups'!Y$8,('Look Ups'!Y$3*RL^3+'Look Ups'!Y$4*RL^2+'Look Ups'!Y$5*RL+'Look Ups'!Y$6)),0)</f>
        <v>0.28422800000000004</v>
      </c>
      <c r="X75" s="92">
        <v>679</v>
      </c>
      <c r="Y75" s="262">
        <f ca="1">IF(WDATE&lt;(TODAY()-'Look Ups'!$D$4*365),-WM*'Look Ups'!$D$5/100,0)</f>
        <v>0</v>
      </c>
      <c r="Z75" s="93"/>
      <c r="AA75" s="93"/>
      <c r="AB75" s="75"/>
      <c r="AC75" s="265">
        <f>WCD+NC*'Look Ups'!$AF$3</f>
        <v>0</v>
      </c>
      <c r="AD75" s="265">
        <f ca="1">IF(RL&lt;'Look Ups'!AM$3,'Look Ups'!AM$4,IF(RL&gt;'Look Ups'!AM$5,'Look Ups'!AM$6,(RL-'Look Ups'!AM$3)/('Look Ups'!AM$5-'Look Ups'!AM$3)*('Look Ups'!AM$6-'Look Ups'!AM$4)+'Look Ups'!AM$4))/100*WS</f>
        <v>203.7</v>
      </c>
      <c r="AE75" s="266">
        <f ca="1">WM+WP+WE</f>
        <v>679</v>
      </c>
      <c r="AF75" s="267">
        <f ca="1">_xlfn.SINGLE(WS)+IF(_xlfn.SINGLE(TCW)&gt;=_xlfn.SINGLE(CWA),_xlfn.SINGLE(CWA),_xlfn.SINGLE(TCW))</f>
        <v>679</v>
      </c>
      <c r="AG75" s="94" t="s">
        <v>145</v>
      </c>
      <c r="AH75" s="95" t="s">
        <v>146</v>
      </c>
      <c r="AI75" s="96" t="s">
        <v>147</v>
      </c>
      <c r="AJ75" s="218"/>
      <c r="AK75" s="273">
        <f>IF(C75="",0,VLOOKUP(AG75,'Look Ups'!$F$3:$G$6,2,0)*VLOOKUP(AH75,'Look Ups'!$I$3:$J$5,2,0)*VLOOKUP(AI75,'Look Ups'!$L$3:$M$7,2,0)*IF(AJ75="",1,VLOOKUP(AJ75,'Look Ups'!$O$3:$P$4,2,0)))</f>
        <v>1</v>
      </c>
      <c r="AL75" s="83">
        <v>7.22</v>
      </c>
      <c r="AM75" s="91">
        <v>6.98</v>
      </c>
      <c r="AN75" s="91">
        <v>2.2599999999999998</v>
      </c>
      <c r="AO75" s="91">
        <v>0.6</v>
      </c>
      <c r="AP75" s="91">
        <v>0.33</v>
      </c>
      <c r="AQ75" s="91">
        <v>6.9</v>
      </c>
      <c r="AR75" s="91">
        <v>0.1</v>
      </c>
      <c r="AS75" s="91">
        <v>2.238</v>
      </c>
      <c r="AT75" s="91">
        <v>0.02</v>
      </c>
      <c r="AU75" s="91"/>
      <c r="AV75" s="91" t="s">
        <v>148</v>
      </c>
      <c r="AW75" s="97"/>
      <c r="AX75" s="256">
        <f>P+ER</f>
        <v>6.92</v>
      </c>
      <c r="AY75" s="256">
        <f>P*0.375*MC</f>
        <v>0</v>
      </c>
      <c r="AZ75" s="275">
        <f>IF(C75="",0,(0.5*(_ML1*LPM)+0.5*(_ML1*HB)+0.66*(P*PR)+0.66*(_ML2*RDM)+0.66*(E*ER))*VLOOKUP(BATT,'Look Ups'!$U$3:$V$4,2,0))</f>
        <v>12.329785599999999</v>
      </c>
      <c r="BA75" s="98"/>
      <c r="BB75" s="99"/>
      <c r="BC75" s="83">
        <v>7.31</v>
      </c>
      <c r="BD75" s="91">
        <v>2.73</v>
      </c>
      <c r="BE75" s="91">
        <v>3.12</v>
      </c>
      <c r="BF75" s="91">
        <v>0.17</v>
      </c>
      <c r="BG75" s="91">
        <v>6.45</v>
      </c>
      <c r="BH75" s="91"/>
      <c r="BI75" s="91"/>
      <c r="BJ75" s="91">
        <v>0.09</v>
      </c>
      <c r="BK75" s="91"/>
      <c r="BL75" s="97"/>
      <c r="BM75" s="275">
        <f>(0.5*LL*LPG)+(0.5*_LG1*HG)+(0.66*LL*LLRG)+(0.66*FG*FRG)+(IF((HG&gt;0),(0.66*_LG2*LRG),(0.66*_LG1*LRG)))</f>
        <v>10.711343999999999</v>
      </c>
      <c r="BN75" s="282"/>
      <c r="BO75" s="283"/>
      <c r="BP75" s="284"/>
      <c r="BQ75" s="284"/>
      <c r="BR75" s="283"/>
      <c r="BS75" s="284"/>
      <c r="BT75" s="284"/>
      <c r="BU75" s="280">
        <f>(0.5*LLS*LPS)+(0.66*LLS*LLRS)+(0.66*LS*LRS)+(0.66*FS*FRS)</f>
        <v>0</v>
      </c>
      <c r="BV75" s="285"/>
      <c r="BW75" s="283"/>
      <c r="BX75" s="283"/>
      <c r="BY75" s="283"/>
      <c r="BZ75" s="283"/>
      <c r="CA75" s="283"/>
      <c r="CB75" s="283"/>
      <c r="CC75" s="275">
        <f>(0.5*LLD*LPD)+(0.66*LLD*LLRD)+(0.66*LCHD*LRD)+(0.66*FD*FRD)</f>
        <v>0</v>
      </c>
      <c r="CD75" s="98">
        <v>5.95</v>
      </c>
      <c r="CE75" s="91">
        <v>8.3000000000000007</v>
      </c>
      <c r="CF75" s="91">
        <v>9.4</v>
      </c>
      <c r="CG75" s="91">
        <v>5.0999999999999996</v>
      </c>
      <c r="CH75" s="266">
        <f>IF(SF&gt;0,SMG/SF*100,"")</f>
        <v>85.714285714285708</v>
      </c>
      <c r="CI75" s="283"/>
      <c r="CJ75" s="280">
        <f>SF*(_SL1+_SL2)/4+(SMG-SF/2)*(_SL1+_SL2)/3</f>
        <v>38.866250000000008</v>
      </c>
      <c r="CK75" s="83"/>
      <c r="CL75" s="91"/>
      <c r="CM75" s="91"/>
      <c r="CN75" s="91"/>
      <c r="CO75" s="256" t="str">
        <f>IF(SCRF&gt;0,SCRMG/SCRF*100,"")</f>
        <v/>
      </c>
      <c r="CP75" s="283"/>
      <c r="CQ75" s="256">
        <f>SCRF*(SCRL1+SCRL2)/4+(SCRMG-SCRF/2)*(SCRL1+SCRL2)/3</f>
        <v>0</v>
      </c>
      <c r="CR75" s="256" t="str">
        <f>IF(CO75&lt;'Look Ups'!$AC$4,"Yes","No")</f>
        <v>No</v>
      </c>
      <c r="CS75" s="267">
        <f>IF(CR75="Yes",MIN(150,('Look Ups'!$AC$4-PSCR)/('Look Ups'!$AC$4-'Look Ups'!$AC$3)*100),0)</f>
        <v>0</v>
      </c>
      <c r="CT75" s="83"/>
      <c r="CU75" s="91"/>
      <c r="CV75" s="91"/>
      <c r="CW75" s="91"/>
      <c r="CX75" s="256" t="str">
        <f>IF(USCRF&gt;0,USCRMG/USCRF*100,"")</f>
        <v/>
      </c>
      <c r="CY75" s="293">
        <f>IF(PUSCR&lt;'Look Ups'!$AC$4,MIN(150,('Look Ups'!$AC$4-PUSCR)/('Look Ups'!$AC$4-'Look Ups'!$AC$3)*100),0)</f>
        <v>0</v>
      </c>
      <c r="CZ75" s="275">
        <f>IF(PUSCR&lt;'Look Ups'!$AC$4,USCRF*(USCRL1+USCRL2)/4+(USCRMG-USCRF/2)*(USCRL1+USCRL2)/3,0)</f>
        <v>0</v>
      </c>
      <c r="DA75" s="294">
        <f>IF(ZVAL=1,1,IF(LPM&gt;0,0.64*((AM+MAM)/(E+(MC/2))^2)^0.3,0))</f>
        <v>1</v>
      </c>
      <c r="DB75" s="256">
        <f>0.65*((AM+MAM)*EFM)+0.35*((AM+MAM)*ZVAL)</f>
        <v>12.329785599999999</v>
      </c>
      <c r="DC75" s="256">
        <f>IF(ZVAL=1,1,IF(LPG&gt;0,0.72*(AG/(LPG^2))^0.3,0))</f>
        <v>1</v>
      </c>
      <c r="DD75" s="256">
        <f>AG*EFG</f>
        <v>10.711343999999999</v>
      </c>
      <c r="DE75" s="256">
        <f>IF(AZ75&gt;0,'Look Ups'!$S$3,0)</f>
        <v>1</v>
      </c>
      <c r="DF75" s="256">
        <f>IF(LPS&gt;0,0.72*(AS/(LPS^2))^0.3,0)</f>
        <v>0</v>
      </c>
      <c r="DG75" s="256">
        <f>EFS*AS</f>
        <v>0</v>
      </c>
      <c r="DH75" s="256">
        <f>IF(LPD&gt;0,0.72*(AD/(LPD^2))^0.3,0)</f>
        <v>0</v>
      </c>
      <c r="DI75" s="280">
        <f>IF((AD-AG)&gt;0,0.3*(AD-AG)*EFD,0)</f>
        <v>0</v>
      </c>
      <c r="DJ75" s="295" t="str">
        <f>IF((SCRF=0),"-",IF(AND(MSASC&gt;AG,SCRMG&lt;(0.75*SCRF)),"valid","ERROR"))</f>
        <v>-</v>
      </c>
      <c r="DK75" s="266" t="str">
        <f>IF((SF=0),"-",IF((SMG&lt;(0.75*SF)),"ERROR",IF(AND(MSASP&gt;MSASC,MSASP&gt;AG,MSASP&gt;=0.36*RSAM),"valid","Small")))</f>
        <v>valid</v>
      </c>
      <c r="DL75" s="267" t="str">
        <f>IF(C75="","",CONCATENATE("MG",IF(FLSCR="valid","Scr",""),IF(FLSPI="valid","SP","")))</f>
        <v>MGSP</v>
      </c>
      <c r="DM75" s="294">
        <f>RSAM+RSAG</f>
        <v>23.041129599999998</v>
      </c>
      <c r="DN75" s="256">
        <f>IF(MSASP&gt;0,'Look Ups'!$AI$4*(ZVAL*MSASP-RSAG),0)</f>
        <v>8.446471800000003</v>
      </c>
      <c r="DO75" s="256">
        <f>IF(AND(MSASC&gt;0,(MSASC&gt;=0.36*RSAM)),('Look Ups'!$AI$3*(ZVAL*MSASC-RSAG)),(0))</f>
        <v>0</v>
      </c>
      <c r="DP75" s="256">
        <f>IF(MSASP&gt;0,'Look Ups'!$AI$5*(ZVAL*MSASP-RSAG),0)</f>
        <v>7.8833736800000036</v>
      </c>
      <c r="DQ75" s="256">
        <f>IF(MSASC&gt;0,'Look Ups'!$AI$6*(MSASC-RSAG),0)</f>
        <v>0</v>
      </c>
      <c r="DR75" s="280">
        <f>'Look Ups'!$AI$7*MAX(IF(MSAUSC&gt;0,EUSC/100*(MSAUSC-RSAG),0),IF(CR75="Yes",ELSC/100*(MSASC-RSAG),0))</f>
        <v>0</v>
      </c>
      <c r="DS75" s="280">
        <f>0.36*RSAM</f>
        <v>4.4387228159999994</v>
      </c>
      <c r="DT75" s="296">
        <f>_xlfn.IFS(SPC="MG",RAMG+DS75,SPC="MGScr",RAMG+RASCO,SPC="MGSp",RAMG+RASPO,SPC="MGScrSp",RAMG+RASPSC+RASCR)+RAUSC+RSAST+RSAD+RSAMZ+RSA2M</f>
        <v>31.487601400000003</v>
      </c>
      <c r="DU75" s="63"/>
    </row>
    <row r="76" spans="1:125" ht="15.6" customHeight="1" x14ac:dyDescent="0.3">
      <c r="A76" s="4"/>
      <c r="B76" s="64"/>
      <c r="C76" s="64" t="s">
        <v>360</v>
      </c>
      <c r="D76" s="85" t="s">
        <v>361</v>
      </c>
      <c r="E76" s="86" t="s">
        <v>362</v>
      </c>
      <c r="F76" s="252">
        <f ca="1">IF(RW=0,0,ROUND(DLF*0.93*RL^LF*RSA^0.4/RW^0.325,3))</f>
        <v>0.85099999999999998</v>
      </c>
      <c r="G76" s="252" t="str">
        <f ca="1">IF(OR(FLSCR="ERROR",FLSPI="ERROR"),"No",IF(TODAY()-'Look Ups'!$D$4*365&gt;I76,"WP Applied","Yes"))</f>
        <v>Yes</v>
      </c>
      <c r="H76" s="253" t="str">
        <f>IF(SPC="","",CONCATENATE("Main-Genoa",IF(FLSCR="valid",IF(OR(CR76="Yes",MSAUSC&gt;0),"-Screacher (Upwind)","-Screacher"),""),IF(FLSPI="valid","-Spinnaker",""),IF(RSAMZ&gt;0,"-Mizzen",""),IF(RSA2M&gt;0,"-Second Main",""),IF(AS&gt;0,"-Staysail",""),IF(AD&gt;0,"-Drifter","")))</f>
        <v>Main-Genoa-Screacher (Upwind)-Spinnaker</v>
      </c>
      <c r="I76" s="1">
        <v>42579</v>
      </c>
      <c r="J76" s="1">
        <v>44672</v>
      </c>
      <c r="K76" s="87" t="s">
        <v>206</v>
      </c>
      <c r="L76" s="87" t="s">
        <v>164</v>
      </c>
      <c r="M76" s="207"/>
      <c r="N76" s="88" t="s">
        <v>165</v>
      </c>
      <c r="O76" s="88"/>
      <c r="P76" s="100"/>
      <c r="Q76" s="90">
        <v>6.96</v>
      </c>
      <c r="R76" s="87"/>
      <c r="S76" s="256">
        <f>IF((LOAA&gt;LOA),0.025*LOAA,0.025*LOA)</f>
        <v>0.17400000000000002</v>
      </c>
      <c r="T76" s="91"/>
      <c r="U76" s="91"/>
      <c r="V76" s="258">
        <f>IF((_xlfn.SINGLE(LOAA)&gt;_xlfn.SINGLE(LOA)),_xlfn.SINGLE(LOAA),_xlfn.SINGLE(LOA)-_xlfn.SINGLE(FOC)-_xlfn.SINGLE(AOC))</f>
        <v>6.96</v>
      </c>
      <c r="W76" s="259">
        <f>IF(RL&gt;0,IF(RL&gt;'Look Ups'!Y$7,'Look Ups'!Y$8,('Look Ups'!Y$3*RL^3+'Look Ups'!Y$4*RL^2+'Look Ups'!Y$5*RL+'Look Ups'!Y$6)),0)</f>
        <v>0.28952782668800003</v>
      </c>
      <c r="X76" s="92">
        <v>695</v>
      </c>
      <c r="Y76" s="262">
        <f ca="1">IF(WDATE&lt;(TODAY()-'Look Ups'!$D$4*365),-WM*'Look Ups'!$D$5/100,0)</f>
        <v>0</v>
      </c>
      <c r="Z76" s="93"/>
      <c r="AA76" s="93"/>
      <c r="AB76" s="75"/>
      <c r="AC76" s="265">
        <f>WCD+NC*'Look Ups'!$AF$3</f>
        <v>0</v>
      </c>
      <c r="AD76" s="265">
        <f ca="1">IF(RL&lt;'Look Ups'!AM$3,'Look Ups'!AM$4,IF(RL&gt;'Look Ups'!AM$5,'Look Ups'!AM$6,(RL-'Look Ups'!AM$3)/('Look Ups'!AM$5-'Look Ups'!AM$3)*('Look Ups'!AM$6-'Look Ups'!AM$4)+'Look Ups'!AM$4))/100*WS</f>
        <v>201.92909090909092</v>
      </c>
      <c r="AE76" s="266">
        <f ca="1">WM+WP+WE</f>
        <v>695</v>
      </c>
      <c r="AF76" s="267">
        <f ca="1">_xlfn.SINGLE(WS)+IF(_xlfn.SINGLE(TCW)&gt;=_xlfn.SINGLE(CWA),_xlfn.SINGLE(CWA),_xlfn.SINGLE(TCW))</f>
        <v>695</v>
      </c>
      <c r="AG76" s="94" t="s">
        <v>145</v>
      </c>
      <c r="AH76" s="95" t="s">
        <v>146</v>
      </c>
      <c r="AI76" s="96" t="s">
        <v>147</v>
      </c>
      <c r="AJ76" s="218"/>
      <c r="AK76" s="273">
        <f>IF(C76="",0,VLOOKUP(AG76,'Look Ups'!$F$3:$G$6,2,0)*VLOOKUP(AH76,'Look Ups'!$I$3:$J$5,2,0)*VLOOKUP(AI76,'Look Ups'!$L$3:$M$7,2,0)*IF(AJ76="",1,VLOOKUP(AJ76,'Look Ups'!$O$3:$P$4,2,0)))</f>
        <v>1</v>
      </c>
      <c r="AL76" s="83">
        <v>9.5299999999999994</v>
      </c>
      <c r="AM76" s="91">
        <v>9.25</v>
      </c>
      <c r="AN76" s="91">
        <v>2.69</v>
      </c>
      <c r="AO76" s="91">
        <v>1.1000000000000001</v>
      </c>
      <c r="AP76" s="91">
        <v>0.17</v>
      </c>
      <c r="AQ76" s="91">
        <v>9.3000000000000007</v>
      </c>
      <c r="AR76" s="91">
        <v>7.0000000000000007E-2</v>
      </c>
      <c r="AS76" s="91">
        <v>2.75</v>
      </c>
      <c r="AT76" s="91">
        <v>0.08</v>
      </c>
      <c r="AU76" s="91">
        <v>0.45500000000000002</v>
      </c>
      <c r="AV76" s="91" t="s">
        <v>148</v>
      </c>
      <c r="AW76" s="97"/>
      <c r="AX76" s="256">
        <f>P+ER</f>
        <v>9.3800000000000008</v>
      </c>
      <c r="AY76" s="256">
        <f>P*0.375*MC</f>
        <v>1.5868125000000002</v>
      </c>
      <c r="AZ76" s="275">
        <f>IF(C76="",0,(0.5*(_ML1*LPM)+0.5*(_ML1*HB)+0.66*(P*PR)+0.66*(_ML2*RDM)+0.66*(E*ER))*VLOOKUP(BATT,'Look Ups'!$U$3:$V$4,2,0))</f>
        <v>19.672059999999995</v>
      </c>
      <c r="BA76" s="98"/>
      <c r="BB76" s="99"/>
      <c r="BC76" s="83">
        <v>8.5399999999999991</v>
      </c>
      <c r="BD76" s="91">
        <v>2.2599999999999998</v>
      </c>
      <c r="BE76" s="91">
        <v>2.39</v>
      </c>
      <c r="BF76" s="91">
        <v>0</v>
      </c>
      <c r="BG76" s="91">
        <v>7.9</v>
      </c>
      <c r="BH76" s="91">
        <v>7.9</v>
      </c>
      <c r="BI76" s="91">
        <v>0.03</v>
      </c>
      <c r="BJ76" s="91">
        <v>-0.25</v>
      </c>
      <c r="BK76" s="91">
        <v>0.03</v>
      </c>
      <c r="BL76" s="97"/>
      <c r="BM76" s="275">
        <f>(0.5*LL*LPG)+(0.5*_LG1*HG)+(0.66*LL*LLRG)+(0.66*FG*FRG)+(IF((HG&gt;0),(0.66*_LG2*LRG),(0.66*_LG1*LRG)))</f>
        <v>8.6342919999999967</v>
      </c>
      <c r="BN76" s="282"/>
      <c r="BO76" s="283"/>
      <c r="BP76" s="284"/>
      <c r="BQ76" s="284"/>
      <c r="BR76" s="283"/>
      <c r="BS76" s="284"/>
      <c r="BT76" s="284"/>
      <c r="BU76" s="280">
        <f>(0.5*LLS*LPS)+(0.66*LLS*LLRS)+(0.66*LS*LRS)+(0.66*FS*FRS)</f>
        <v>0</v>
      </c>
      <c r="BV76" s="285"/>
      <c r="BW76" s="283"/>
      <c r="BX76" s="283"/>
      <c r="BY76" s="283"/>
      <c r="BZ76" s="283"/>
      <c r="CA76" s="283"/>
      <c r="CB76" s="283"/>
      <c r="CC76" s="275">
        <f>(0.5*LLD*LPD)+(0.66*LLD*LLRD)+(0.66*LCHD*LRD)+(0.66*FD*FRD)</f>
        <v>0</v>
      </c>
      <c r="CD76" s="98">
        <v>5.4</v>
      </c>
      <c r="CE76" s="91">
        <v>10.54</v>
      </c>
      <c r="CF76" s="91">
        <v>8.74</v>
      </c>
      <c r="CG76" s="91">
        <v>4.8499999999999996</v>
      </c>
      <c r="CH76" s="266">
        <f>IF(SF&gt;0,SMG/SF*100,"")</f>
        <v>89.81481481481481</v>
      </c>
      <c r="CI76" s="283"/>
      <c r="CJ76" s="280">
        <f>SF*(_SL1+_SL2)/4+(SMG-SF/2)*(_SL1+_SL2)/3</f>
        <v>39.845333333333329</v>
      </c>
      <c r="CK76" s="83">
        <v>5.16</v>
      </c>
      <c r="CL76" s="91">
        <v>9.1</v>
      </c>
      <c r="CM76" s="91">
        <v>8.5500000000000007</v>
      </c>
      <c r="CN76" s="91">
        <v>2.65</v>
      </c>
      <c r="CO76" s="256">
        <f>IF(SCRF&gt;0,SCRMG/SCRF*100,"")</f>
        <v>51.356589147286826</v>
      </c>
      <c r="CP76" s="283"/>
      <c r="CQ76" s="256">
        <f>SCRF*(SCRL1+SCRL2)/4+(SCRMG-SCRF/2)*(SCRL1+SCRL2)/3</f>
        <v>23.180333333333333</v>
      </c>
      <c r="CR76" s="256" t="str">
        <f>IF(CO76&lt;'Look Ups'!$AC$4,"Yes","No")</f>
        <v>Yes</v>
      </c>
      <c r="CS76" s="267">
        <f>IF(CR76="Yes",MIN(150,('Look Ups'!$AC$4-PSCR)/('Look Ups'!$AC$4-'Look Ups'!$AC$3)*100),0)</f>
        <v>12.86821705426348</v>
      </c>
      <c r="CT76" s="83"/>
      <c r="CU76" s="91"/>
      <c r="CV76" s="91"/>
      <c r="CW76" s="91"/>
      <c r="CX76" s="256" t="str">
        <f>IF(USCRF&gt;0,USCRMG/USCRF*100,"")</f>
        <v/>
      </c>
      <c r="CY76" s="293">
        <f>IF(PUSCR&lt;'Look Ups'!$AC$4,MIN(150,('Look Ups'!$AC$4-PUSCR)/('Look Ups'!$AC$4-'Look Ups'!$AC$3)*100),0)</f>
        <v>0</v>
      </c>
      <c r="CZ76" s="275">
        <f>IF(PUSCR&lt;'Look Ups'!$AC$4,USCRF*(USCRL1+USCRL2)/4+(USCRMG-USCRF/2)*(USCRL1+USCRL2)/3,0)</f>
        <v>0</v>
      </c>
      <c r="DA76" s="294">
        <f>IF(ZVAL=1,1,IF(LPM&gt;0,0.64*((AM+MAM)/(E+(MC/2))^2)^0.3,0))</f>
        <v>1</v>
      </c>
      <c r="DB76" s="256">
        <f>0.65*((AM+MAM)*EFM)+0.35*((AM+MAM)*ZVAL)</f>
        <v>21.258872499999995</v>
      </c>
      <c r="DC76" s="256">
        <f>IF(ZVAL=1,1,IF(LPG&gt;0,0.72*(AG/(LPG^2))^0.3,0))</f>
        <v>1</v>
      </c>
      <c r="DD76" s="256">
        <f>AG*EFG</f>
        <v>8.6342919999999967</v>
      </c>
      <c r="DE76" s="256">
        <f>IF(AZ76&gt;0,'Look Ups'!$S$3,0)</f>
        <v>1</v>
      </c>
      <c r="DF76" s="256">
        <f>IF(LPS&gt;0,0.72*(AS/(LPS^2))^0.3,0)</f>
        <v>0</v>
      </c>
      <c r="DG76" s="256">
        <f>EFS*AS</f>
        <v>0</v>
      </c>
      <c r="DH76" s="256">
        <f>IF(LPD&gt;0,0.72*(AD/(LPD^2))^0.3,0)</f>
        <v>0</v>
      </c>
      <c r="DI76" s="280">
        <f>IF((AD-AG)&gt;0,0.3*(AD-AG)*EFD,0)</f>
        <v>0</v>
      </c>
      <c r="DJ76" s="295" t="str">
        <f>IF((SCRF=0),"-",IF(AND(MSASC&gt;AG,SCRMG&lt;(0.75*SCRF)),"valid","ERROR"))</f>
        <v>valid</v>
      </c>
      <c r="DK76" s="266" t="str">
        <f>IF((SF=0),"-",IF((SMG&lt;(0.75*SF)),"ERROR",IF(AND(MSASP&gt;MSASC,MSASP&gt;AG,MSASP&gt;=0.36*RSAM),"valid","Small")))</f>
        <v>valid</v>
      </c>
      <c r="DL76" s="267" t="str">
        <f>IF(C76="","",CONCATENATE("MG",IF(FLSCR="valid","Scr",""),IF(FLSPI="valid","SP","")))</f>
        <v>MGScrSP</v>
      </c>
      <c r="DM76" s="294">
        <f>RSAM+RSAG</f>
        <v>29.89316449999999</v>
      </c>
      <c r="DN76" s="256">
        <f>IF(MSASP&gt;0,'Look Ups'!$AI$4*(ZVAL*MSASP-RSAG),0)</f>
        <v>9.3633123999999999</v>
      </c>
      <c r="DO76" s="256">
        <f>IF(AND(MSASC&gt;0,(MSASC&gt;=0.36*RSAM)),('Look Ups'!$AI$3*(ZVAL*MSASC-RSAG)),(0))</f>
        <v>5.0911144666666672</v>
      </c>
      <c r="DP76" s="256">
        <f>IF(MSASP&gt;0,'Look Ups'!$AI$5*(ZVAL*MSASP-RSAG),0)</f>
        <v>8.7390915733333348</v>
      </c>
      <c r="DQ76" s="256">
        <f>IF(MSASC&gt;0,'Look Ups'!$AI$6*(MSASC-RSAG),0)</f>
        <v>1.0182228933333337</v>
      </c>
      <c r="DR76" s="280">
        <f>'Look Ups'!$AI$7*MAX(IF(MSAUSC&gt;0,EUSC/100*(MSAUSC-RSAG),0),IF(CR76="Yes",ELSC/100*(MSASC-RSAG),0))</f>
        <v>0.46795404289405385</v>
      </c>
      <c r="DS76" s="280">
        <f>0.36*RSAM</f>
        <v>7.6531940999999977</v>
      </c>
      <c r="DT76" s="296">
        <f>_xlfn.IFS(SPC="MG",RAMG+DS76,SPC="MGScr",RAMG+RASCO,SPC="MGSp",RAMG+RASPO,SPC="MGScrSp",RAMG+RASPSC+RASCR)+RAUSC+RSAST+RSAD+RSAMZ+RSA2M</f>
        <v>40.118433009560711</v>
      </c>
      <c r="DU76" s="63"/>
    </row>
    <row r="77" spans="1:125" ht="15.6" customHeight="1" x14ac:dyDescent="0.3">
      <c r="A77" s="4"/>
      <c r="B77" s="84"/>
      <c r="C77" s="64" t="s">
        <v>363</v>
      </c>
      <c r="D77" s="101" t="s">
        <v>364</v>
      </c>
      <c r="E77" s="86" t="s">
        <v>365</v>
      </c>
      <c r="F77" s="252">
        <f ca="1">IF(RW=0,0,ROUND(DLF*0.93*RL^LF*RSA^0.4/RW^0.325,3))</f>
        <v>0.88200000000000001</v>
      </c>
      <c r="G77" s="252" t="str">
        <f ca="1">IF(OR(FLSCR="ERROR",FLSPI="ERROR"),"No",IF(TODAY()-'Look Ups'!$D$4*365&gt;I77,"WP Applied","Yes"))</f>
        <v>WP Applied</v>
      </c>
      <c r="H77" s="253" t="str">
        <f>IF(SPC="","",CONCATENATE("Main-Genoa",IF(FLSCR="valid",IF(OR(CR77="Yes",MSAUSC&gt;0),"-Screacher (Upwind)","-Screacher"),""),IF(FLSPI="valid","-Spinnaker",""),IF(RSAMZ&gt;0,"-Mizzen",""),IF(RSA2M&gt;0,"-Second Main",""),IF(AS&gt;0,"-Staysail",""),IF(AD&gt;0,"-Drifter","")))</f>
        <v>Main-Genoa-Screacher-Spinnaker</v>
      </c>
      <c r="I77" s="1">
        <v>40033</v>
      </c>
      <c r="J77" s="1">
        <v>40758</v>
      </c>
      <c r="K77" s="87" t="s">
        <v>366</v>
      </c>
      <c r="L77" s="87" t="s">
        <v>159</v>
      </c>
      <c r="M77" s="207"/>
      <c r="N77" s="97" t="s">
        <v>165</v>
      </c>
      <c r="O77" s="97"/>
      <c r="P77" s="102"/>
      <c r="Q77" s="90">
        <v>11.95</v>
      </c>
      <c r="R77" s="87"/>
      <c r="S77" s="256">
        <f>IF((LOAA&gt;LOA),0.025*LOAA,0.025*LOA)</f>
        <v>0.29875000000000002</v>
      </c>
      <c r="T77" s="91">
        <v>0.04</v>
      </c>
      <c r="U77" s="91"/>
      <c r="V77" s="258">
        <f>IF((_xlfn.SINGLE(LOAA)&gt;_xlfn.SINGLE(LOA)),_xlfn.SINGLE(LOAA),_xlfn.SINGLE(LOA)-_xlfn.SINGLE(FOC)-_xlfn.SINGLE(AOC))</f>
        <v>11.91</v>
      </c>
      <c r="W77" s="259">
        <f>IF(RL&gt;0,IF(RL&gt;'Look Ups'!Y$7,'Look Ups'!Y$8,('Look Ups'!Y$3*RL^3+'Look Ups'!Y$4*RL^2+'Look Ups'!Y$5*RL+'Look Ups'!Y$6)),0)</f>
        <v>0.299908218743</v>
      </c>
      <c r="X77" s="92">
        <v>4519</v>
      </c>
      <c r="Y77" s="262">
        <f ca="1">IF(WDATE&lt;(TODAY()-'Look Ups'!$D$4*365),-WM*'Look Ups'!$D$5/100,0)</f>
        <v>-677.85</v>
      </c>
      <c r="Z77" s="93"/>
      <c r="AA77" s="93"/>
      <c r="AB77" s="75"/>
      <c r="AC77" s="265">
        <f>WCD+NC*'Look Ups'!$AF$3</f>
        <v>0</v>
      </c>
      <c r="AD77" s="265">
        <f ca="1">IF(RL&lt;'Look Ups'!AM$3,'Look Ups'!AM$4,IF(RL&gt;'Look Ups'!AM$5,'Look Ups'!AM$6,(RL-'Look Ups'!AM$3)/('Look Ups'!AM$5-'Look Ups'!AM$3)*('Look Ups'!AM$6-'Look Ups'!AM$4)+'Look Ups'!AM$4))/100*WS</f>
        <v>424.62167272727265</v>
      </c>
      <c r="AE77" s="266">
        <f ca="1">WM+WP+WE</f>
        <v>3841.15</v>
      </c>
      <c r="AF77" s="267">
        <f ca="1">_xlfn.SINGLE(WS)+IF(_xlfn.SINGLE(TCW)&gt;=_xlfn.SINGLE(CWA),_xlfn.SINGLE(CWA),_xlfn.SINGLE(TCW))</f>
        <v>3841.15</v>
      </c>
      <c r="AG77" s="94" t="s">
        <v>145</v>
      </c>
      <c r="AH77" s="95" t="s">
        <v>146</v>
      </c>
      <c r="AI77" s="96" t="s">
        <v>147</v>
      </c>
      <c r="AJ77" s="218"/>
      <c r="AK77" s="273">
        <f>IF(C77="",0,VLOOKUP(AG77,'Look Ups'!$F$3:$G$6,2,0)*VLOOKUP(AH77,'Look Ups'!$I$3:$J$5,2,0)*VLOOKUP(AI77,'Look Ups'!$L$3:$M$7,2,0)*IF(AJ77="",1,VLOOKUP(AJ77,'Look Ups'!$O$3:$P$4,2,0)))</f>
        <v>1</v>
      </c>
      <c r="AL77" s="83">
        <v>14.29</v>
      </c>
      <c r="AM77" s="91">
        <v>13.93</v>
      </c>
      <c r="AN77" s="91">
        <v>4.47</v>
      </c>
      <c r="AO77" s="91">
        <v>1.1599999999999999</v>
      </c>
      <c r="AP77" s="91">
        <v>1.05</v>
      </c>
      <c r="AQ77" s="91">
        <v>13.6</v>
      </c>
      <c r="AR77" s="91">
        <v>0.15</v>
      </c>
      <c r="AS77" s="91">
        <v>4.71</v>
      </c>
      <c r="AT77" s="91">
        <v>0.04</v>
      </c>
      <c r="AU77" s="91"/>
      <c r="AV77" s="91" t="s">
        <v>148</v>
      </c>
      <c r="AW77" s="97"/>
      <c r="AX77" s="256">
        <f>P+ER</f>
        <v>13.639999999999999</v>
      </c>
      <c r="AY77" s="256">
        <f>P*0.375*MC</f>
        <v>0</v>
      </c>
      <c r="AZ77" s="275">
        <f>IF(C77="",0,(0.5*(_ML1*LPM)+0.5*(_ML1*HB)+0.66*(P*PR)+0.66*(_ML2*RDM)+0.66*(E*ER))*VLOOKUP(BATT,'Look Ups'!$U$3:$V$4,2,0))</f>
        <v>51.350583999999998</v>
      </c>
      <c r="BA77" s="98"/>
      <c r="BB77" s="99"/>
      <c r="BC77" s="83">
        <v>13.62</v>
      </c>
      <c r="BD77" s="91">
        <v>4.82</v>
      </c>
      <c r="BE77" s="91">
        <v>5.4</v>
      </c>
      <c r="BF77" s="91">
        <v>0.27</v>
      </c>
      <c r="BG77" s="91">
        <v>12.1</v>
      </c>
      <c r="BH77" s="91">
        <v>12.1</v>
      </c>
      <c r="BI77" s="91"/>
      <c r="BJ77" s="91">
        <v>-0.31</v>
      </c>
      <c r="BK77" s="91">
        <v>0.02</v>
      </c>
      <c r="BL77" s="97"/>
      <c r="BM77" s="275">
        <f>(0.5*LL*LPG)+(0.5*_LG1*HG)+(0.66*LL*LLRG)+(0.66*FG*FRG)+(IF((HG&gt;0),(0.66*_LG2*LRG),(0.66*_LG1*LRG)))</f>
        <v>31.490603999999994</v>
      </c>
      <c r="BN77" s="282"/>
      <c r="BO77" s="283"/>
      <c r="BP77" s="284"/>
      <c r="BQ77" s="284"/>
      <c r="BR77" s="283"/>
      <c r="BS77" s="284"/>
      <c r="BT77" s="284"/>
      <c r="BU77" s="280">
        <f>(0.5*LLS*LPS)+(0.66*LLS*LLRS)+(0.66*LS*LRS)+(0.66*FS*FRS)</f>
        <v>0</v>
      </c>
      <c r="BV77" s="285"/>
      <c r="BW77" s="283"/>
      <c r="BX77" s="283"/>
      <c r="BY77" s="283"/>
      <c r="BZ77" s="283"/>
      <c r="CA77" s="283"/>
      <c r="CB77" s="283"/>
      <c r="CC77" s="275">
        <f>(0.5*LLD*LPD)+(0.66*LLD*LLRD)+(0.66*LCHD*LRD)+(0.66*FD*FRD)</f>
        <v>0</v>
      </c>
      <c r="CD77" s="98">
        <v>9.6999999999999993</v>
      </c>
      <c r="CE77" s="91">
        <v>17.329999999999998</v>
      </c>
      <c r="CF77" s="91">
        <v>16.100000000000001</v>
      </c>
      <c r="CG77" s="91">
        <v>9.08</v>
      </c>
      <c r="CH77" s="266">
        <f>IF(SF&gt;0,SMG/SF*100,"")</f>
        <v>93.608247422680421</v>
      </c>
      <c r="CI77" s="283"/>
      <c r="CJ77" s="280">
        <f>SF*(_SL1+_SL2)/4+(SMG-SF/2)*(_SL1+_SL2)/3</f>
        <v>128.20405</v>
      </c>
      <c r="CK77" s="83">
        <v>8.15</v>
      </c>
      <c r="CL77" s="91">
        <v>14.68</v>
      </c>
      <c r="CM77" s="91">
        <v>12.64</v>
      </c>
      <c r="CN77" s="91">
        <v>4.3099999999999996</v>
      </c>
      <c r="CO77" s="256">
        <f>IF(SCRF&gt;0,SCRMG/SCRF*100,"")</f>
        <v>52.883435582822081</v>
      </c>
      <c r="CP77" s="286"/>
      <c r="CQ77" s="256">
        <f>SCRF*(SCRL1+SCRL2)/4+(SCRMG-SCRF/2)*(SCRL1+SCRL2)/3</f>
        <v>57.804566666666666</v>
      </c>
      <c r="CR77" s="256" t="str">
        <f>IF(CO77&lt;'Look Ups'!$AC$4,"Yes","No")</f>
        <v>No</v>
      </c>
      <c r="CS77" s="267">
        <f>IF(CR77="Yes",MIN(150,('Look Ups'!$AC$4-PSCR)/('Look Ups'!$AC$4-'Look Ups'!$AC$3)*100),0)</f>
        <v>0</v>
      </c>
      <c r="CT77" s="83"/>
      <c r="CU77" s="91"/>
      <c r="CV77" s="91"/>
      <c r="CW77" s="91"/>
      <c r="CX77" s="256" t="str">
        <f>IF(USCRF&gt;0,USCRMG/USCRF*100,"")</f>
        <v/>
      </c>
      <c r="CY77" s="293">
        <f>IF(PUSCR&lt;'Look Ups'!$AC$4,MIN(150,('Look Ups'!$AC$4-PUSCR)/('Look Ups'!$AC$4-'Look Ups'!$AC$3)*100),0)</f>
        <v>0</v>
      </c>
      <c r="CZ77" s="275">
        <f>IF(PUSCR&lt;'Look Ups'!$AC$4,USCRF*(USCRL1+USCRL2)/4+(USCRMG-USCRF/2)*(USCRL1+USCRL2)/3,0)</f>
        <v>0</v>
      </c>
      <c r="DA77" s="294">
        <f>IF(ZVAL=1,1,IF(LPM&gt;0,0.64*((AM+MAM)/(E+(MC/2))^2)^0.3,0))</f>
        <v>1</v>
      </c>
      <c r="DB77" s="256">
        <f>0.65*((AM+MAM)*EFM)+0.35*((AM+MAM)*ZVAL)</f>
        <v>51.350583999999998</v>
      </c>
      <c r="DC77" s="256">
        <f>IF(ZVAL=1,1,IF(LPG&gt;0,0.72*(AG/(LPG^2))^0.3,0))</f>
        <v>1</v>
      </c>
      <c r="DD77" s="256">
        <f>AG*EFG</f>
        <v>31.490603999999994</v>
      </c>
      <c r="DE77" s="256">
        <f>IF(AZ77&gt;0,'Look Ups'!$S$3,0)</f>
        <v>1</v>
      </c>
      <c r="DF77" s="256">
        <f>IF(LPS&gt;0,0.72*(AS/(LPS^2))^0.3,0)</f>
        <v>0</v>
      </c>
      <c r="DG77" s="256">
        <f>EFS*AS</f>
        <v>0</v>
      </c>
      <c r="DH77" s="256">
        <f>IF(LPD&gt;0,0.72*(AD/(LPD^2))^0.3,0)</f>
        <v>0</v>
      </c>
      <c r="DI77" s="280">
        <f>IF((AD-AG)&gt;0,0.3*(AD-AG)*EFD,0)</f>
        <v>0</v>
      </c>
      <c r="DJ77" s="295" t="str">
        <f>IF((SCRF=0),"-",IF(AND(MSASC&gt;AG,SCRMG&lt;(0.75*SCRF)),"valid","ERROR"))</f>
        <v>valid</v>
      </c>
      <c r="DK77" s="266" t="str">
        <f>IF((SF=0),"-",IF((SMG&lt;(0.75*SF)),"ERROR",IF(AND(MSASP&gt;MSASC,MSASP&gt;AG,MSASP&gt;=0.36*RSAM),"valid","Small")))</f>
        <v>valid</v>
      </c>
      <c r="DL77" s="267" t="str">
        <f>IF(C77="","",CONCATENATE("MG",IF(FLSCR="valid","Scr",""),IF(FLSPI="valid","SP","")))</f>
        <v>MGScrSP</v>
      </c>
      <c r="DM77" s="294">
        <f>RSAM+RSAG</f>
        <v>82.841187999999988</v>
      </c>
      <c r="DN77" s="256">
        <f>IF(MSASP&gt;0,'Look Ups'!$AI$4*(ZVAL*MSASP-RSAG),0)</f>
        <v>29.0140338</v>
      </c>
      <c r="DO77" s="256">
        <f>IF(AND(MSASC&gt;0,(MSASC&gt;=0.36*RSAM)),('Look Ups'!$AI$3*(ZVAL*MSASC-RSAG)),(0))</f>
        <v>9.2098869333333351</v>
      </c>
      <c r="DP77" s="256">
        <f>IF(MSASP&gt;0,'Look Ups'!$AI$5*(ZVAL*MSASP-RSAG),0)</f>
        <v>27.079764880000003</v>
      </c>
      <c r="DQ77" s="256">
        <f>IF(MSASC&gt;0,'Look Ups'!$AI$6*(MSASC-RSAG),0)</f>
        <v>1.8419773866666673</v>
      </c>
      <c r="DR77" s="280">
        <f>'Look Ups'!$AI$7*MAX(IF(MSAUSC&gt;0,EUSC/100*(MSAUSC-RSAG),0),IF(CR77="Yes",ELSC/100*(MSASC-RSAG),0))</f>
        <v>0</v>
      </c>
      <c r="DS77" s="280">
        <f>0.36*RSAM</f>
        <v>18.486210239999998</v>
      </c>
      <c r="DT77" s="296">
        <f>_xlfn.IFS(SPC="MG",RAMG+DS77,SPC="MGScr",RAMG+RASCO,SPC="MGSp",RAMG+RASPO,SPC="MGScrSp",RAMG+RASPSC+RASCR)+RAUSC+RSAST+RSAD+RSAMZ+RSA2M</f>
        <v>111.76293026666666</v>
      </c>
      <c r="DU77" s="107"/>
    </row>
    <row r="78" spans="1:125" ht="15.6" customHeight="1" x14ac:dyDescent="0.3">
      <c r="A78" s="4"/>
      <c r="B78" s="64"/>
      <c r="C78" s="64" t="s">
        <v>1131</v>
      </c>
      <c r="D78" s="101" t="s">
        <v>1132</v>
      </c>
      <c r="E78" s="86" t="s">
        <v>1129</v>
      </c>
      <c r="F78" s="252">
        <f ca="1">IF(RW=0,0,ROUND(DLF*0.93*RL^LF*RSA^0.4/RW^0.325,3))</f>
        <v>0.876</v>
      </c>
      <c r="G78" s="252" t="str">
        <f ca="1">IF(OR(FLSCR="ERROR",FLSPI="ERROR"),"No",IF(TODAY()-'Look Ups'!$D$4*365&gt;I78,"WP Applied","Yes"))</f>
        <v>Yes</v>
      </c>
      <c r="H78" s="253" t="str">
        <f>IF(SPC="","",CONCATENATE("Main-Genoa",IF(FLSCR="valid",IF(OR(CR78="Yes",MSAUSC&gt;0),"-Screacher (Upwind)","-Screacher"),""),IF(FLSPI="valid","-Spinnaker",""),IF(RSAMZ&gt;0,"-Mizzen",""),IF(RSA2M&gt;0,"-Second Main",""),IF(AS&gt;0,"-Staysail",""),IF(AD&gt;0,"-Drifter","")))</f>
        <v>Main-Genoa-Screacher (Upwind)-Spinnaker</v>
      </c>
      <c r="I78" s="1">
        <v>45086</v>
      </c>
      <c r="J78" s="1">
        <v>45157</v>
      </c>
      <c r="K78" s="87" t="s">
        <v>1130</v>
      </c>
      <c r="L78" s="87" t="s">
        <v>176</v>
      </c>
      <c r="M78" s="207"/>
      <c r="N78" s="97" t="s">
        <v>165</v>
      </c>
      <c r="O78" s="97"/>
      <c r="P78" s="102">
        <v>7.77</v>
      </c>
      <c r="Q78" s="90">
        <v>17</v>
      </c>
      <c r="R78" s="87"/>
      <c r="S78" s="256">
        <f>IF((LOAA&gt;LOA),0.025*LOAA,0.025*LOA)</f>
        <v>0.42500000000000004</v>
      </c>
      <c r="T78" s="91">
        <v>0.55000000000000004</v>
      </c>
      <c r="U78" s="91">
        <v>0.56999999999999995</v>
      </c>
      <c r="V78" s="258">
        <f>IF((_xlfn.SINGLE(LOAA)&gt;_xlfn.SINGLE(LOA)),_xlfn.SINGLE(LOAA),_xlfn.SINGLE(LOA)-_xlfn.SINGLE(FOC)-_xlfn.SINGLE(AOC))</f>
        <v>15.879999999999999</v>
      </c>
      <c r="W78" s="259">
        <f>IF(RL&gt;0,IF(RL&gt;'Look Ups'!Y$7,'Look Ups'!Y$8,('Look Ups'!Y$3*RL^3+'Look Ups'!Y$4*RL^2+'Look Ups'!Y$5*RL+'Look Ups'!Y$6)),0)</f>
        <v>0.3</v>
      </c>
      <c r="X78" s="92">
        <v>8099</v>
      </c>
      <c r="Y78" s="262">
        <f ca="1">IF(WDATE&lt;(TODAY()-'Look Ups'!$D$4*365),-WM*'Look Ups'!$D$5/100,0)</f>
        <v>0</v>
      </c>
      <c r="Z78" s="93"/>
      <c r="AA78" s="93"/>
      <c r="AB78" s="75"/>
      <c r="AC78" s="265">
        <f>WCD+NC*'Look Ups'!$AF$3</f>
        <v>0</v>
      </c>
      <c r="AD78" s="265">
        <f ca="1">IF(RL&lt;'Look Ups'!AM$3,'Look Ups'!AM$4,IF(RL&gt;'Look Ups'!AM$5,'Look Ups'!AM$6,(RL-'Look Ups'!AM$3)/('Look Ups'!AM$5-'Look Ups'!AM$3)*('Look Ups'!AM$6-'Look Ups'!AM$4)+'Look Ups'!AM$4))/100*WS</f>
        <v>809.90000000000009</v>
      </c>
      <c r="AE78" s="266">
        <f ca="1">WM+WP+WE</f>
        <v>8099</v>
      </c>
      <c r="AF78" s="267">
        <f ca="1">_xlfn.SINGLE(WS)+IF(_xlfn.SINGLE(TCW)&gt;=_xlfn.SINGLE(CWA),_xlfn.SINGLE(CWA),_xlfn.SINGLE(TCW))</f>
        <v>8099</v>
      </c>
      <c r="AG78" s="94" t="s">
        <v>263</v>
      </c>
      <c r="AH78" s="95" t="s">
        <v>146</v>
      </c>
      <c r="AI78" s="96" t="s">
        <v>177</v>
      </c>
      <c r="AJ78" s="218"/>
      <c r="AK78" s="273">
        <f>IF(C78="",0,VLOOKUP(AG78,'Look Ups'!$F$3:$G$6,2,0)*VLOOKUP(AH78,'Look Ups'!$I$3:$J$5,2,0)*VLOOKUP(AI78,'Look Ups'!$L$3:$M$7,2,0)*IF(AJ78="",1,VLOOKUP(AJ78,'Look Ups'!$O$3:$P$4,2,0)))</f>
        <v>0.98504999999999998</v>
      </c>
      <c r="AL78" s="83">
        <v>17.86</v>
      </c>
      <c r="AM78" s="91">
        <v>17.239999999999998</v>
      </c>
      <c r="AN78" s="91">
        <v>6.36</v>
      </c>
      <c r="AO78" s="91">
        <v>2.14</v>
      </c>
      <c r="AP78" s="91">
        <v>0.45</v>
      </c>
      <c r="AQ78" s="91">
        <v>18.170000000000002</v>
      </c>
      <c r="AR78" s="91">
        <v>0.13</v>
      </c>
      <c r="AS78" s="91">
        <v>6.4</v>
      </c>
      <c r="AT78" s="91">
        <v>0</v>
      </c>
      <c r="AU78" s="91"/>
      <c r="AV78" s="91" t="s">
        <v>148</v>
      </c>
      <c r="AW78" s="97"/>
      <c r="AX78" s="256">
        <f>P+ER</f>
        <v>18.170000000000002</v>
      </c>
      <c r="AY78" s="256">
        <f>P*0.375*MC</f>
        <v>0</v>
      </c>
      <c r="AZ78" s="275">
        <f>IF(C78="",0,(0.5*(_ML1*LPM)+0.5*(_ML1*HB)+0.66*(P*PR)+0.66*(_ML2*RDM)+0.66*(E*ER))*VLOOKUP(BATT,'Look Ups'!$U$3:$V$4,2,0))</f>
        <v>82.584266</v>
      </c>
      <c r="BA78" s="98"/>
      <c r="BB78" s="99"/>
      <c r="BC78" s="83">
        <v>16.84</v>
      </c>
      <c r="BD78" s="91">
        <v>4.91</v>
      </c>
      <c r="BE78" s="91">
        <v>5.33</v>
      </c>
      <c r="BF78" s="91">
        <v>0.16</v>
      </c>
      <c r="BG78" s="91">
        <v>15.42</v>
      </c>
      <c r="BH78" s="91">
        <v>15.32</v>
      </c>
      <c r="BI78" s="91">
        <v>0.28000000000000003</v>
      </c>
      <c r="BJ78" s="91">
        <v>0.04</v>
      </c>
      <c r="BK78" s="91">
        <v>0.05</v>
      </c>
      <c r="BL78" s="97"/>
      <c r="BM78" s="275">
        <f>(0.5*LL*LPG)+(0.5*_LG1*HG)+(0.66*LL*LLRG)+(0.66*FG*FRG)+(IF((HG&gt;0),(0.66*_LG2*LRG),(0.66*_LG1*LRG)))</f>
        <v>45.024016000000003</v>
      </c>
      <c r="BN78" s="282"/>
      <c r="BO78" s="283"/>
      <c r="BP78" s="284"/>
      <c r="BQ78" s="284"/>
      <c r="BR78" s="283"/>
      <c r="BS78" s="284"/>
      <c r="BT78" s="284"/>
      <c r="BU78" s="280">
        <f>(0.5*LLS*LPS)+(0.66*LLS*LLRS)+(0.66*LS*LRS)+(0.66*FS*FRS)</f>
        <v>0</v>
      </c>
      <c r="BV78" s="285"/>
      <c r="BW78" s="283"/>
      <c r="BX78" s="283"/>
      <c r="BY78" s="283"/>
      <c r="BZ78" s="283"/>
      <c r="CA78" s="283"/>
      <c r="CB78" s="283"/>
      <c r="CC78" s="275">
        <f>(0.5*LLD*LPD)+(0.66*LLD*LLRD)+(0.66*LCHD*LRD)+(0.66*FD*FRD)</f>
        <v>0</v>
      </c>
      <c r="CD78" s="98">
        <v>11.38</v>
      </c>
      <c r="CE78" s="91">
        <v>19.53</v>
      </c>
      <c r="CF78" s="91">
        <v>16.88</v>
      </c>
      <c r="CG78" s="91">
        <v>11.41</v>
      </c>
      <c r="CH78" s="266">
        <f>IF(SF&gt;0,SMG/SF*100,"")</f>
        <v>100.26362038664323</v>
      </c>
      <c r="CI78" s="283"/>
      <c r="CJ78" s="280">
        <f>SF*(_SL1+_SL2)/4+(SMG-SF/2)*(_SL1+_SL2)/3</f>
        <v>173.00818333333331</v>
      </c>
      <c r="CK78" s="83">
        <v>8.92</v>
      </c>
      <c r="CL78" s="91">
        <v>17.8</v>
      </c>
      <c r="CM78" s="91">
        <v>15.7</v>
      </c>
      <c r="CN78" s="91">
        <v>4.47</v>
      </c>
      <c r="CO78" s="256">
        <f>IF(SCRF&gt;0,SCRMG/SCRF*100,"")</f>
        <v>50.11210762331838</v>
      </c>
      <c r="CP78" s="286"/>
      <c r="CQ78" s="256">
        <f>SCRF*(SCRL1+SCRL2)/4+(SCRMG-SCRF/2)*(SCRL1+SCRL2)/3</f>
        <v>74.816666666666663</v>
      </c>
      <c r="CR78" s="256" t="str">
        <f>IF(CO78&lt;'Look Ups'!$AC$4,"Yes","No")</f>
        <v>Yes</v>
      </c>
      <c r="CS78" s="267">
        <f>IF(CR78="Yes",MIN(150,('Look Ups'!$AC$4-PSCR)/('Look Ups'!$AC$4-'Look Ups'!$AC$3)*100),0)</f>
        <v>37.7578475336324</v>
      </c>
      <c r="CT78" s="83"/>
      <c r="CU78" s="91"/>
      <c r="CV78" s="91"/>
      <c r="CW78" s="91"/>
      <c r="CX78" s="256" t="str">
        <f>IF(USCRF&gt;0,USCRMG/USCRF*100,"")</f>
        <v/>
      </c>
      <c r="CY78" s="293">
        <f>IF(PUSCR&lt;'Look Ups'!$AC$4,MIN(150,('Look Ups'!$AC$4-PUSCR)/('Look Ups'!$AC$4-'Look Ups'!$AC$3)*100),0)</f>
        <v>0</v>
      </c>
      <c r="CZ78" s="275">
        <f>IF(PUSCR&lt;'Look Ups'!$AC$4,USCRF*(USCRL1+USCRL2)/4+(USCRMG-USCRF/2)*(USCRL1+USCRL2)/3,0)</f>
        <v>0</v>
      </c>
      <c r="DA78" s="294">
        <f>IF(ZVAL=1,1,IF(LPM&gt;0,0.64*((AM+MAM)/(E+(MC/2))^2)^0.3,0))</f>
        <v>1</v>
      </c>
      <c r="DB78" s="256">
        <f>0.65*((AM+MAM)*EFM)+0.35*((AM+MAM)*ZVAL)</f>
        <v>82.584266</v>
      </c>
      <c r="DC78" s="256">
        <f>IF(ZVAL=1,1,IF(LPG&gt;0,0.72*(AG/(LPG^2))^0.3,0))</f>
        <v>1</v>
      </c>
      <c r="DD78" s="256">
        <f>AG*EFG</f>
        <v>45.024016000000003</v>
      </c>
      <c r="DE78" s="256">
        <f>IF(AZ78&gt;0,'Look Ups'!$S$3,0)</f>
        <v>1</v>
      </c>
      <c r="DF78" s="256">
        <f>IF(LPS&gt;0,0.72*(AS/(LPS^2))^0.3,0)</f>
        <v>0</v>
      </c>
      <c r="DG78" s="256">
        <f>EFS*AS</f>
        <v>0</v>
      </c>
      <c r="DH78" s="256">
        <f>IF(LPD&gt;0,0.72*(AD/(LPD^2))^0.3,0)</f>
        <v>0</v>
      </c>
      <c r="DI78" s="280">
        <f>IF((AD-AG)&gt;0,0.3*(AD-AG)*EFD,0)</f>
        <v>0</v>
      </c>
      <c r="DJ78" s="295" t="str">
        <f>IF((SCRF=0),"-",IF(AND(MSASC&gt;AG,SCRMG&lt;(0.75*SCRF)),"valid","ERROR"))</f>
        <v>valid</v>
      </c>
      <c r="DK78" s="266" t="str">
        <f>IF((SF=0),"-",IF((SMG&lt;(0.75*SF)),"ERROR",IF(AND(MSASP&gt;MSASC,MSASP&gt;AG,MSASP&gt;=0.36*RSAM),"valid","Small")))</f>
        <v>valid</v>
      </c>
      <c r="DL78" s="267" t="str">
        <f>IF(C78="","",CONCATENATE("MG",IF(FLSCR="valid","Scr",""),IF(FLSPI="valid","SP","")))</f>
        <v>MGScrSP</v>
      </c>
      <c r="DM78" s="294">
        <f>RSAM+RSAG</f>
        <v>127.608282</v>
      </c>
      <c r="DN78" s="256">
        <f>IF(MSASP&gt;0,'Look Ups'!$AI$4*(ZVAL*MSASP-RSAG),0)</f>
        <v>38.395250199999992</v>
      </c>
      <c r="DO78" s="256">
        <f>IF(AND(MSASC&gt;0,(MSASC&gt;=0.36*RSAM)),('Look Ups'!$AI$3*(ZVAL*MSASC-RSAG)),(0))</f>
        <v>10.42742773333333</v>
      </c>
      <c r="DP78" s="256">
        <f>IF(MSASP&gt;0,'Look Ups'!$AI$5*(ZVAL*MSASP-RSAG),0)</f>
        <v>35.835566853333326</v>
      </c>
      <c r="DQ78" s="256">
        <f>IF(MSASC&gt;0,'Look Ups'!$AI$6*(MSASC-RSAG),0)</f>
        <v>2.0854855466666664</v>
      </c>
      <c r="DR78" s="280">
        <f>'Look Ups'!$AI$7*MAX(IF(MSAUSC&gt;0,EUSC/100*(MSAUSC-RSAG),0),IF(CR78="Yes",ELSC/100*(MSASC-RSAG),0))</f>
        <v>2.8122659037369284</v>
      </c>
      <c r="DS78" s="280">
        <f>0.36*RSAM</f>
        <v>29.730335759999999</v>
      </c>
      <c r="DT78" s="296">
        <f>_xlfn.IFS(SPC="MG",RAMG+DS78,SPC="MGScr",RAMG+RASCO,SPC="MGSp",RAMG+RASPO,SPC="MGScrSp",RAMG+RASPSC+RASCR)+RAUSC+RSAST+RSAD+RSAMZ+RSA2M</f>
        <v>168.3416003037369</v>
      </c>
      <c r="DU78" s="63"/>
    </row>
    <row r="79" spans="1:125" ht="15.6" customHeight="1" x14ac:dyDescent="0.3">
      <c r="A79" s="4"/>
      <c r="B79" s="64"/>
      <c r="C79" s="64" t="s">
        <v>367</v>
      </c>
      <c r="D79" s="101"/>
      <c r="E79" s="86" t="s">
        <v>368</v>
      </c>
      <c r="F79" s="252">
        <f ca="1">IF(RW=0,0,ROUND(DLF*0.93*RL^LF*RSA^0.4/RW^0.325,3))</f>
        <v>0.75800000000000001</v>
      </c>
      <c r="G79" s="252" t="str">
        <f ca="1">IF(OR(FLSCR="ERROR",FLSPI="ERROR"),"No",IF(TODAY()-'Look Ups'!$D$4*365&gt;I79,"WP Applied","Yes"))</f>
        <v>Yes</v>
      </c>
      <c r="H79" s="253" t="str">
        <f>IF(SPC="","",CONCATENATE("Main-Genoa",IF(FLSCR="valid",IF(OR(CR79="Yes",MSAUSC&gt;0),"-Screacher (Upwind)","-Screacher"),""),IF(FLSPI="valid","-Spinnaker",""),IF(RSAMZ&gt;0,"-Mizzen",""),IF(RSA2M&gt;0,"-Second Main",""),IF(AS&gt;0,"-Staysail",""),IF(AD&gt;0,"-Drifter","")))</f>
        <v>Main-Genoa-Screacher (Upwind)-Spinnaker</v>
      </c>
      <c r="I79" s="1">
        <v>45550</v>
      </c>
      <c r="J79" s="1">
        <v>45645</v>
      </c>
      <c r="K79" s="87" t="s">
        <v>1202</v>
      </c>
      <c r="L79" s="87" t="s">
        <v>164</v>
      </c>
      <c r="M79" s="207"/>
      <c r="N79" s="97" t="s">
        <v>165</v>
      </c>
      <c r="O79" s="97"/>
      <c r="P79" s="102"/>
      <c r="Q79" s="90">
        <v>13.2</v>
      </c>
      <c r="R79" s="87"/>
      <c r="S79" s="256">
        <f>IF((LOAA&gt;LOA),0.025*LOAA,0.025*LOA)</f>
        <v>0.33</v>
      </c>
      <c r="T79" s="91">
        <v>0.30000000000000004</v>
      </c>
      <c r="U79" s="91"/>
      <c r="V79" s="258">
        <f>IF((_xlfn.SINGLE(LOAA)&gt;_xlfn.SINGLE(LOA)),_xlfn.SINGLE(LOAA),_xlfn.SINGLE(LOA)-_xlfn.SINGLE(FOC)-_xlfn.SINGLE(AOC))</f>
        <v>12.899999999999999</v>
      </c>
      <c r="W79" s="259">
        <f>IF(RL&gt;0,IF(RL&gt;'Look Ups'!Y$7,'Look Ups'!Y$8,('Look Ups'!Y$3*RL^3+'Look Ups'!Y$4*RL^2+'Look Ups'!Y$5*RL+'Look Ups'!Y$6)),0)</f>
        <v>0.3</v>
      </c>
      <c r="X79" s="92">
        <v>7495</v>
      </c>
      <c r="Y79" s="262">
        <f ca="1">IF(WDATE&lt;(TODAY()-'Look Ups'!$D$4*365),-WM*'Look Ups'!$D$5/100,0)</f>
        <v>0</v>
      </c>
      <c r="Z79" s="93"/>
      <c r="AA79" s="93"/>
      <c r="AB79" s="75"/>
      <c r="AC79" s="265">
        <f>WCD+NC*'Look Ups'!$AF$3</f>
        <v>0</v>
      </c>
      <c r="AD79" s="265">
        <f ca="1">IF(RL&lt;'Look Ups'!AM$3,'Look Ups'!AM$4,IF(RL&gt;'Look Ups'!AM$5,'Look Ups'!AM$6,(RL-'Look Ups'!AM$3)/('Look Ups'!AM$5-'Look Ups'!AM$3)*('Look Ups'!AM$6-'Look Ups'!AM$4)+'Look Ups'!AM$4))/100*WS</f>
        <v>749.5</v>
      </c>
      <c r="AE79" s="266">
        <f ca="1">WM+WP+WE</f>
        <v>7495</v>
      </c>
      <c r="AF79" s="267">
        <f ca="1">_xlfn.SINGLE(WS)+IF(_xlfn.SINGLE(TCW)&gt;=_xlfn.SINGLE(CWA),_xlfn.SINGLE(CWA),_xlfn.SINGLE(TCW))</f>
        <v>7495</v>
      </c>
      <c r="AG79" s="94" t="s">
        <v>145</v>
      </c>
      <c r="AH79" s="95" t="s">
        <v>146</v>
      </c>
      <c r="AI79" s="96" t="s">
        <v>147</v>
      </c>
      <c r="AJ79" s="218"/>
      <c r="AK79" s="273">
        <f>IF(C79="",0,VLOOKUP(AG79,'Look Ups'!$F$3:$G$6,2,0)*VLOOKUP(AH79,'Look Ups'!$I$3:$J$5,2,0)*VLOOKUP(AI79,'Look Ups'!$L$3:$M$7,2,0)*IF(AJ79="",1,VLOOKUP(AJ79,'Look Ups'!$O$3:$P$4,2,0)))</f>
        <v>1</v>
      </c>
      <c r="AL79" s="83">
        <v>16.149999999999999</v>
      </c>
      <c r="AM79" s="91">
        <v>16.149999999999999</v>
      </c>
      <c r="AN79" s="91">
        <v>4.87</v>
      </c>
      <c r="AO79" s="91">
        <v>0.2</v>
      </c>
      <c r="AP79" s="91">
        <v>2</v>
      </c>
      <c r="AQ79" s="91">
        <v>16</v>
      </c>
      <c r="AR79" s="91">
        <v>0.15</v>
      </c>
      <c r="AS79" s="91">
        <v>4.96</v>
      </c>
      <c r="AT79" s="91">
        <v>0.1</v>
      </c>
      <c r="AU79" s="91"/>
      <c r="AV79" s="91" t="s">
        <v>148</v>
      </c>
      <c r="AW79" s="97"/>
      <c r="AX79" s="256">
        <f>P+ER</f>
        <v>16.100000000000001</v>
      </c>
      <c r="AY79" s="256">
        <f>P*0.375*MC</f>
        <v>0</v>
      </c>
      <c r="AZ79" s="275">
        <f>IF(C79="",0,(0.5*(_ML1*LPM)+0.5*(_ML1*HB)+0.66*(P*PR)+0.66*(_ML2*RDM)+0.66*(E*ER))*VLOOKUP(BATT,'Look Ups'!$U$3:$V$4,2,0))</f>
        <v>64.169610000000006</v>
      </c>
      <c r="BA79" s="98"/>
      <c r="BB79" s="99"/>
      <c r="BC79" s="83">
        <v>14.2</v>
      </c>
      <c r="BD79" s="91">
        <v>5.9</v>
      </c>
      <c r="BE79" s="91">
        <v>6.7</v>
      </c>
      <c r="BF79" s="91">
        <v>0.17</v>
      </c>
      <c r="BG79" s="91">
        <v>12.53</v>
      </c>
      <c r="BH79" s="91"/>
      <c r="BI79" s="91"/>
      <c r="BJ79" s="91">
        <v>-0.45</v>
      </c>
      <c r="BK79" s="91">
        <v>-0.05</v>
      </c>
      <c r="BL79" s="97"/>
      <c r="BM79" s="275">
        <f>(0.5*LL*LPG)+(0.5*_LG1*HG)+(0.66*LL*LLRG)+(0.66*FG*FRG)+(IF((HG&gt;0),(0.66*_LG2*LRG),(0.66*_LG1*LRG)))</f>
        <v>38.451729999999998</v>
      </c>
      <c r="BN79" s="282"/>
      <c r="BO79" s="283"/>
      <c r="BP79" s="284"/>
      <c r="BQ79" s="284"/>
      <c r="BR79" s="283"/>
      <c r="BS79" s="284"/>
      <c r="BT79" s="284"/>
      <c r="BU79" s="280">
        <f>(0.5*LLS*LPS)+(0.66*LLS*LLRS)+(0.66*LS*LRS)+(0.66*FS*FRS)</f>
        <v>0</v>
      </c>
      <c r="BV79" s="285"/>
      <c r="BW79" s="283"/>
      <c r="BX79" s="283"/>
      <c r="BY79" s="283"/>
      <c r="BZ79" s="283"/>
      <c r="CA79" s="283"/>
      <c r="CB79" s="283"/>
      <c r="CC79" s="275">
        <f>(0.5*LLD*LPD)+(0.66*LLD*LLRD)+(0.66*LCHD*LRD)+(0.66*FD*FRD)</f>
        <v>0</v>
      </c>
      <c r="CD79" s="98">
        <v>8.3000000000000007</v>
      </c>
      <c r="CE79" s="91">
        <v>17.5</v>
      </c>
      <c r="CF79" s="91">
        <v>15</v>
      </c>
      <c r="CG79" s="91">
        <v>7.65</v>
      </c>
      <c r="CH79" s="266">
        <f>IF(SF&gt;0,SMG/SF*100,"")</f>
        <v>92.168674698795172</v>
      </c>
      <c r="CI79" s="283"/>
      <c r="CJ79" s="280">
        <f>SF*(_SL1+_SL2)/4+(SMG-SF/2)*(_SL1+_SL2)/3</f>
        <v>105.35416666666666</v>
      </c>
      <c r="CK79" s="83">
        <v>7.76</v>
      </c>
      <c r="CL79" s="91">
        <v>16.07</v>
      </c>
      <c r="CM79" s="91">
        <v>13.3</v>
      </c>
      <c r="CN79" s="91">
        <v>3.92</v>
      </c>
      <c r="CO79" s="256">
        <f>IF(SCRF&gt;0,SCRMG/SCRF*100,"")</f>
        <v>50.515463917525771</v>
      </c>
      <c r="CP79" s="286"/>
      <c r="CQ79" s="256">
        <f>SCRF*(SCRL1+SCRL2)/4+(SCRMG-SCRF/2)*(SCRL1+SCRL2)/3</f>
        <v>57.369399999999999</v>
      </c>
      <c r="CR79" s="256" t="str">
        <f>IF(CO79&lt;'Look Ups'!$AC$4,"Yes","No")</f>
        <v>Yes</v>
      </c>
      <c r="CS79" s="267">
        <f>IF(CR79="Yes",MIN(150,('Look Ups'!$AC$4-PSCR)/('Look Ups'!$AC$4-'Look Ups'!$AC$3)*100),0)</f>
        <v>29.690721649484576</v>
      </c>
      <c r="CT79" s="83"/>
      <c r="CU79" s="91"/>
      <c r="CV79" s="91"/>
      <c r="CW79" s="91"/>
      <c r="CX79" s="256" t="str">
        <f>IF(USCRF&gt;0,USCRMG/USCRF*100,"")</f>
        <v/>
      </c>
      <c r="CY79" s="293">
        <f>IF(PUSCR&lt;'Look Ups'!$AC$4,MIN(150,('Look Ups'!$AC$4-PUSCR)/('Look Ups'!$AC$4-'Look Ups'!$AC$3)*100),0)</f>
        <v>0</v>
      </c>
      <c r="CZ79" s="275">
        <f>IF(PUSCR&lt;'Look Ups'!$AC$4,USCRF*(USCRL1+USCRL2)/4+(USCRMG-USCRF/2)*(USCRL1+USCRL2)/3,0)</f>
        <v>0</v>
      </c>
      <c r="DA79" s="294">
        <f>IF(ZVAL=1,1,IF(LPM&gt;0,0.64*((AM+MAM)/(E+(MC/2))^2)^0.3,0))</f>
        <v>1</v>
      </c>
      <c r="DB79" s="256">
        <f>0.65*((AM+MAM)*EFM)+0.35*((AM+MAM)*ZVAL)</f>
        <v>64.169610000000006</v>
      </c>
      <c r="DC79" s="256">
        <f>IF(ZVAL=1,1,IF(LPG&gt;0,0.72*(AG/(LPG^2))^0.3,0))</f>
        <v>1</v>
      </c>
      <c r="DD79" s="256">
        <f>AG*EFG</f>
        <v>38.451729999999998</v>
      </c>
      <c r="DE79" s="256">
        <f>IF(AZ79&gt;0,'Look Ups'!$S$3,0)</f>
        <v>1</v>
      </c>
      <c r="DF79" s="256">
        <f>IF(LPS&gt;0,0.72*(AS/(LPS^2))^0.3,0)</f>
        <v>0</v>
      </c>
      <c r="DG79" s="256">
        <f>EFS*AS</f>
        <v>0</v>
      </c>
      <c r="DH79" s="256">
        <f>IF(LPD&gt;0,0.72*(AD/(LPD^2))^0.3,0)</f>
        <v>0</v>
      </c>
      <c r="DI79" s="280">
        <f>IF((AD-AG)&gt;0,0.3*(AD-AG)*EFD,0)</f>
        <v>0</v>
      </c>
      <c r="DJ79" s="295" t="str">
        <f>IF((SCRF=0),"-",IF(AND(MSASC&gt;AG,SCRMG&lt;(0.75*SCRF)),"valid","ERROR"))</f>
        <v>valid</v>
      </c>
      <c r="DK79" s="266" t="str">
        <f>IF((SF=0),"-",IF((SMG&lt;(0.75*SF)),"ERROR",IF(AND(MSASP&gt;MSASC,MSASP&gt;AG,MSASP&gt;=0.36*RSAM),"valid","Small")))</f>
        <v>valid</v>
      </c>
      <c r="DL79" s="267" t="str">
        <f>IF(C79="","",CONCATENATE("MG",IF(FLSCR="valid","Scr",""),IF(FLSPI="valid","SP","")))</f>
        <v>MGScrSP</v>
      </c>
      <c r="DM79" s="294">
        <f>RSAM+RSAG</f>
        <v>102.62134</v>
      </c>
      <c r="DN79" s="256">
        <f>IF(MSASP&gt;0,'Look Ups'!$AI$4*(ZVAL*MSASP-RSAG),0)</f>
        <v>20.070730999999999</v>
      </c>
      <c r="DO79" s="256">
        <f>IF(AND(MSASC&gt;0,(MSASC&gt;=0.36*RSAM)),('Look Ups'!$AI$3*(ZVAL*MSASC-RSAG)),(0))</f>
        <v>6.6211845</v>
      </c>
      <c r="DP79" s="256">
        <f>IF(MSASP&gt;0,'Look Ups'!$AI$5*(ZVAL*MSASP-RSAG),0)</f>
        <v>18.732682266666668</v>
      </c>
      <c r="DQ79" s="256">
        <f>IF(MSASC&gt;0,'Look Ups'!$AI$6*(MSASC-RSAG),0)</f>
        <v>1.3242369000000003</v>
      </c>
      <c r="DR79" s="280">
        <f>'Look Ups'!$AI$7*MAX(IF(MSAUSC&gt;0,EUSC/100*(MSAUSC-RSAG),0),IF(CR79="Yes",ELSC/100*(MSASC-RSAG),0))</f>
        <v>1.4041981855670123</v>
      </c>
      <c r="DS79" s="280">
        <f>0.36*RSAM</f>
        <v>23.101059600000003</v>
      </c>
      <c r="DT79" s="296">
        <f>_xlfn.IFS(SPC="MG",RAMG+DS79,SPC="MGScr",RAMG+RASCO,SPC="MGSp",RAMG+RASPO,SPC="MGScrSp",RAMG+RASPSC+RASCR)+RAUSC+RSAST+RSAD+RSAMZ+RSA2M</f>
        <v>124.08245735223369</v>
      </c>
      <c r="DU79" s="63"/>
    </row>
    <row r="80" spans="1:125" ht="15.6" customHeight="1" x14ac:dyDescent="0.3">
      <c r="A80" s="4"/>
      <c r="B80" s="84"/>
      <c r="C80" s="64" t="s">
        <v>369</v>
      </c>
      <c r="D80" s="101" t="s">
        <v>370</v>
      </c>
      <c r="E80" s="86" t="s">
        <v>371</v>
      </c>
      <c r="F80" s="252">
        <f ca="1">IF(RW=0,0,ROUND(DLF*0.93*RL^LF*RSA^0.4/RW^0.325,3))</f>
        <v>0.73599999999999999</v>
      </c>
      <c r="G80" s="252" t="str">
        <f ca="1">IF(OR(FLSCR="ERROR",FLSPI="ERROR"),"No",IF(TODAY()-'Look Ups'!$D$4*365&gt;I80,"WP Applied","Yes"))</f>
        <v>Yes</v>
      </c>
      <c r="H80" s="253" t="str">
        <f>IF(SPC="","",CONCATENATE("Main-Genoa",IF(FLSCR="valid",IF(OR(CR80="Yes",MSAUSC&gt;0),"-Screacher (Upwind)","-Screacher"),""),IF(FLSPI="valid","-Spinnaker",""),IF(RSAMZ&gt;0,"-Mizzen",""),IF(RSA2M&gt;0,"-Second Main",""),IF(AS&gt;0,"-Staysail",""),IF(AD&gt;0,"-Drifter","")))</f>
        <v>Main-Genoa-Spinnaker</v>
      </c>
      <c r="I80" s="1">
        <v>44418</v>
      </c>
      <c r="J80" s="1">
        <v>45148</v>
      </c>
      <c r="K80" s="87" t="s">
        <v>1145</v>
      </c>
      <c r="L80" s="87" t="s">
        <v>164</v>
      </c>
      <c r="M80" s="207"/>
      <c r="N80" s="97" t="s">
        <v>165</v>
      </c>
      <c r="O80" s="97" t="s">
        <v>370</v>
      </c>
      <c r="P80" s="102"/>
      <c r="Q80" s="90">
        <v>8.2799999999999994</v>
      </c>
      <c r="R80" s="87"/>
      <c r="S80" s="256">
        <f>IF((LOAA&gt;LOA),0.025*LOAA,0.025*LOA)</f>
        <v>0.20699999999999999</v>
      </c>
      <c r="T80" s="91">
        <v>0.04</v>
      </c>
      <c r="U80" s="91"/>
      <c r="V80" s="258">
        <f>IF((_xlfn.SINGLE(LOAA)&gt;_xlfn.SINGLE(LOA)),_xlfn.SINGLE(LOAA),_xlfn.SINGLE(LOA)-_xlfn.SINGLE(FOC)-_xlfn.SINGLE(AOC))</f>
        <v>8.24</v>
      </c>
      <c r="W80" s="259">
        <f>IF(RL&gt;0,IF(RL&gt;'Look Ups'!Y$7,'Look Ups'!Y$8,('Look Ups'!Y$3*RL^3+'Look Ups'!Y$4*RL^2+'Look Ups'!Y$5*RL+'Look Ups'!Y$6)),0)</f>
        <v>0.29458607539200005</v>
      </c>
      <c r="X80" s="92">
        <v>2019</v>
      </c>
      <c r="Y80" s="262">
        <f ca="1">IF(WDATE&lt;(TODAY()-'Look Ups'!$D$4*365),-WM*'Look Ups'!$D$5/100,0)</f>
        <v>0</v>
      </c>
      <c r="Z80" s="93"/>
      <c r="AA80" s="93"/>
      <c r="AB80" s="75"/>
      <c r="AC80" s="265">
        <f>WCD+NC*'Look Ups'!$AF$3</f>
        <v>0</v>
      </c>
      <c r="AD80" s="265">
        <f ca="1">IF(RL&lt;'Look Ups'!AM$3,'Look Ups'!AM$4,IF(RL&gt;'Look Ups'!AM$5,'Look Ups'!AM$6,(RL-'Look Ups'!AM$3)/('Look Ups'!AM$5-'Look Ups'!AM$3)*('Look Ups'!AM$6-'Look Ups'!AM$4)+'Look Ups'!AM$4))/100*WS</f>
        <v>492.63599999999997</v>
      </c>
      <c r="AE80" s="266">
        <f ca="1">WM+WP+WE</f>
        <v>2019</v>
      </c>
      <c r="AF80" s="267">
        <f ca="1">_xlfn.SINGLE(WS)+IF(_xlfn.SINGLE(TCW)&gt;=_xlfn.SINGLE(CWA),_xlfn.SINGLE(CWA),_xlfn.SINGLE(TCW))</f>
        <v>2019</v>
      </c>
      <c r="AG80" s="94" t="s">
        <v>145</v>
      </c>
      <c r="AH80" s="95" t="s">
        <v>146</v>
      </c>
      <c r="AI80" s="96" t="s">
        <v>147</v>
      </c>
      <c r="AJ80" s="218"/>
      <c r="AK80" s="273">
        <f>IF(C80="",0,VLOOKUP(AG80,'Look Ups'!$F$3:$G$6,2,0)*VLOOKUP(AH80,'Look Ups'!$I$3:$J$5,2,0)*VLOOKUP(AI80,'Look Ups'!$L$3:$M$7,2,0)*IF(AJ80="",1,VLOOKUP(AJ80,'Look Ups'!$O$3:$P$4,2,0)))</f>
        <v>1</v>
      </c>
      <c r="AL80" s="83">
        <v>11.24</v>
      </c>
      <c r="AM80" s="91">
        <v>11.03</v>
      </c>
      <c r="AN80" s="91">
        <v>3.4</v>
      </c>
      <c r="AO80" s="91">
        <v>1.17</v>
      </c>
      <c r="AP80" s="91">
        <v>0.63</v>
      </c>
      <c r="AQ80" s="91">
        <v>11.15</v>
      </c>
      <c r="AR80" s="91">
        <v>0.16</v>
      </c>
      <c r="AS80" s="91">
        <v>3.44</v>
      </c>
      <c r="AT80" s="91">
        <v>0</v>
      </c>
      <c r="AU80" s="91"/>
      <c r="AV80" s="91" t="s">
        <v>148</v>
      </c>
      <c r="AW80" s="97"/>
      <c r="AX80" s="256">
        <f>P+ER</f>
        <v>11.15</v>
      </c>
      <c r="AY80" s="256">
        <f>P*0.375*MC</f>
        <v>0</v>
      </c>
      <c r="AZ80" s="275">
        <f>IF(C80="",0,(0.5*(_ML1*LPM)+0.5*(_ML1*HB)+0.66*(P*PR)+0.66*(_ML2*RDM)+0.66*(E*ER))*VLOOKUP(BATT,'Look Ups'!$U$3:$V$4,2,0))</f>
        <v>31.447113999999999</v>
      </c>
      <c r="BA80" s="98"/>
      <c r="BB80" s="99"/>
      <c r="BC80" s="83">
        <v>9.3000000000000007</v>
      </c>
      <c r="BD80" s="91">
        <v>3.24</v>
      </c>
      <c r="BE80" s="91">
        <v>3.5</v>
      </c>
      <c r="BF80" s="91">
        <v>0.05</v>
      </c>
      <c r="BG80" s="91">
        <v>8.43</v>
      </c>
      <c r="BH80" s="91"/>
      <c r="BI80" s="91"/>
      <c r="BJ80" s="91">
        <v>-0.06</v>
      </c>
      <c r="BK80" s="91">
        <v>0.1</v>
      </c>
      <c r="BL80" s="97"/>
      <c r="BM80" s="275">
        <f>(0.5*LL*LPG)+(0.5*_LG1*HG)+(0.66*LL*LLRG)+(0.66*FG*FRG)+(IF((HG&gt;0),(0.66*_LG2*LRG),(0.66*_LG1*LRG)))</f>
        <v>15.461472000000002</v>
      </c>
      <c r="BN80" s="282"/>
      <c r="BO80" s="283"/>
      <c r="BP80" s="284"/>
      <c r="BQ80" s="284"/>
      <c r="BR80" s="283"/>
      <c r="BS80" s="284"/>
      <c r="BT80" s="284"/>
      <c r="BU80" s="280">
        <f>(0.5*LLS*LPS)+(0.66*LLS*LLRS)+(0.66*LS*LRS)+(0.66*FS*FRS)</f>
        <v>0</v>
      </c>
      <c r="BV80" s="285"/>
      <c r="BW80" s="283"/>
      <c r="BX80" s="283"/>
      <c r="BY80" s="283"/>
      <c r="BZ80" s="283"/>
      <c r="CA80" s="283"/>
      <c r="CB80" s="283"/>
      <c r="CC80" s="275">
        <f>(0.5*LLD*LPD)+(0.66*LLD*LLRD)+(0.66*LCHD*LRD)+(0.66*FD*FRD)</f>
        <v>0</v>
      </c>
      <c r="CD80" s="98">
        <v>6.31</v>
      </c>
      <c r="CE80" s="91">
        <v>11.61</v>
      </c>
      <c r="CF80" s="91">
        <v>9.6999999999999993</v>
      </c>
      <c r="CG80" s="91">
        <v>5.39</v>
      </c>
      <c r="CH80" s="266">
        <f>IF(SF&gt;0,SMG/SF*100,"")</f>
        <v>85.419968304278925</v>
      </c>
      <c r="CI80" s="283"/>
      <c r="CJ80" s="280">
        <f>SF*(_SL1+_SL2)/4+(SMG-SF/2)*(_SL1+_SL2)/3</f>
        <v>49.492474999999992</v>
      </c>
      <c r="CK80" s="83"/>
      <c r="CL80" s="91"/>
      <c r="CM80" s="91"/>
      <c r="CN80" s="91"/>
      <c r="CO80" s="256" t="str">
        <f>IF(SCRF&gt;0,SCRMG/SCRF*100,"")</f>
        <v/>
      </c>
      <c r="CP80" s="286"/>
      <c r="CQ80" s="256">
        <f>SCRF*(SCRL1+SCRL2)/4+(SCRMG-SCRF/2)*(SCRL1+SCRL2)/3</f>
        <v>0</v>
      </c>
      <c r="CR80" s="256" t="str">
        <f>IF(CO80&lt;'Look Ups'!$AC$4,"Yes","No")</f>
        <v>No</v>
      </c>
      <c r="CS80" s="267">
        <f>IF(CR80="Yes",MIN(150,('Look Ups'!$AC$4-PSCR)/('Look Ups'!$AC$4-'Look Ups'!$AC$3)*100),0)</f>
        <v>0</v>
      </c>
      <c r="CT80" s="83"/>
      <c r="CU80" s="91"/>
      <c r="CV80" s="91"/>
      <c r="CW80" s="91"/>
      <c r="CX80" s="256" t="str">
        <f>IF(USCRF&gt;0,USCRMG/USCRF*100,"")</f>
        <v/>
      </c>
      <c r="CY80" s="293">
        <f>IF(PUSCR&lt;'Look Ups'!$AC$4,MIN(150,('Look Ups'!$AC$4-PUSCR)/('Look Ups'!$AC$4-'Look Ups'!$AC$3)*100),0)</f>
        <v>0</v>
      </c>
      <c r="CZ80" s="275">
        <f>IF(PUSCR&lt;'Look Ups'!$AC$4,USCRF*(USCRL1+USCRL2)/4+(USCRMG-USCRF/2)*(USCRL1+USCRL2)/3,0)</f>
        <v>0</v>
      </c>
      <c r="DA80" s="294">
        <f>IF(ZVAL=1,1,IF(LPM&gt;0,0.64*((AM+MAM)/(E+(MC/2))^2)^0.3,0))</f>
        <v>1</v>
      </c>
      <c r="DB80" s="256">
        <f>0.65*((AM+MAM)*EFM)+0.35*((AM+MAM)*ZVAL)</f>
        <v>31.447113999999999</v>
      </c>
      <c r="DC80" s="256">
        <f>IF(ZVAL=1,1,IF(LPG&gt;0,0.72*(AG/(LPG^2))^0.3,0))</f>
        <v>1</v>
      </c>
      <c r="DD80" s="256">
        <f>AG*EFG</f>
        <v>15.461472000000002</v>
      </c>
      <c r="DE80" s="256">
        <f>IF(AZ80&gt;0,'Look Ups'!$S$3,0)</f>
        <v>1</v>
      </c>
      <c r="DF80" s="256">
        <f>IF(LPS&gt;0,0.72*(AS/(LPS^2))^0.3,0)</f>
        <v>0</v>
      </c>
      <c r="DG80" s="256">
        <f>EFS*AS</f>
        <v>0</v>
      </c>
      <c r="DH80" s="256">
        <f>IF(LPD&gt;0,0.72*(AD/(LPD^2))^0.3,0)</f>
        <v>0</v>
      </c>
      <c r="DI80" s="280">
        <f>IF((AD-AG)&gt;0,0.3*(AD-AG)*EFD,0)</f>
        <v>0</v>
      </c>
      <c r="DJ80" s="295" t="str">
        <f>IF((SCRF=0),"-",IF(AND(MSASC&gt;AG,SCRMG&lt;(0.75*SCRF)),"valid","ERROR"))</f>
        <v>-</v>
      </c>
      <c r="DK80" s="266" t="str">
        <f>IF((SF=0),"-",IF((SMG&lt;(0.75*SF)),"ERROR",IF(AND(MSASP&gt;MSASC,MSASP&gt;AG,MSASP&gt;=0.36*RSAM),"valid","Small")))</f>
        <v>valid</v>
      </c>
      <c r="DL80" s="267" t="str">
        <f>IF(C80="","",CONCATENATE("MG",IF(FLSCR="valid","Scr",""),IF(FLSPI="valid","SP","")))</f>
        <v>MGSP</v>
      </c>
      <c r="DM80" s="294">
        <f>RSAM+RSAG</f>
        <v>46.908586</v>
      </c>
      <c r="DN80" s="256">
        <f>IF(MSASP&gt;0,'Look Ups'!$AI$4*(ZVAL*MSASP-RSAG),0)</f>
        <v>10.209300899999997</v>
      </c>
      <c r="DO80" s="256">
        <f>IF(AND(MSASC&gt;0,(MSASC&gt;=0.36*RSAM)),('Look Ups'!$AI$3*(ZVAL*MSASC-RSAG)),(0))</f>
        <v>0</v>
      </c>
      <c r="DP80" s="256">
        <f>IF(MSASP&gt;0,'Look Ups'!$AI$5*(ZVAL*MSASP-RSAG),0)</f>
        <v>9.528680839999998</v>
      </c>
      <c r="DQ80" s="256">
        <f>IF(MSASC&gt;0,'Look Ups'!$AI$6*(MSASC-RSAG),0)</f>
        <v>0</v>
      </c>
      <c r="DR80" s="280">
        <f>'Look Ups'!$AI$7*MAX(IF(MSAUSC&gt;0,EUSC/100*(MSAUSC-RSAG),0),IF(CR80="Yes",ELSC/100*(MSASC-RSAG),0))</f>
        <v>0</v>
      </c>
      <c r="DS80" s="280">
        <f>0.36*RSAM</f>
        <v>11.320961039999998</v>
      </c>
      <c r="DT80" s="296">
        <f>_xlfn.IFS(SPC="MG",RAMG+DS80,SPC="MGScr",RAMG+RASCO,SPC="MGSp",RAMG+RASPO,SPC="MGScrSp",RAMG+RASPSC+RASCR)+RAUSC+RSAST+RSAD+RSAMZ+RSA2M</f>
        <v>57.117886899999995</v>
      </c>
      <c r="DU80" s="63"/>
    </row>
    <row r="81" spans="1:125" ht="15.6" customHeight="1" x14ac:dyDescent="0.3">
      <c r="A81" s="4"/>
      <c r="B81" s="64"/>
      <c r="C81" s="64" t="s">
        <v>372</v>
      </c>
      <c r="D81" s="101" t="s">
        <v>1162</v>
      </c>
      <c r="E81" s="86" t="s">
        <v>373</v>
      </c>
      <c r="F81" s="252">
        <f ca="1">IF(RW=0,0,ROUND(DLF*0.93*RL^LF*RSA^0.4/RW^0.325,3))</f>
        <v>0.78300000000000003</v>
      </c>
      <c r="G81" s="252" t="str">
        <f ca="1">IF(OR(FLSCR="ERROR",FLSPI="ERROR"),"No",IF(TODAY()-'Look Ups'!$D$4*365&gt;I81,"WP Applied","Yes"))</f>
        <v>Yes</v>
      </c>
      <c r="H81" s="253" t="str">
        <f>IF(SPC="","",CONCATENATE("Main-Genoa",IF(FLSCR="valid",IF(OR(CR81="Yes",MSAUSC&gt;0),"-Screacher (Upwind)","-Screacher"),""),IF(FLSPI="valid","-Spinnaker",""),IF(RSAMZ&gt;0,"-Mizzen",""),IF(RSA2M&gt;0,"-Second Main",""),IF(AS&gt;0,"-Staysail",""),IF(AD&gt;0,"-Drifter","")))</f>
        <v>Main-Genoa-Spinnaker</v>
      </c>
      <c r="I81" s="1">
        <v>44115</v>
      </c>
      <c r="J81" s="1">
        <v>44115</v>
      </c>
      <c r="K81" s="87" t="s">
        <v>186</v>
      </c>
      <c r="L81" s="87" t="s">
        <v>164</v>
      </c>
      <c r="M81" s="207"/>
      <c r="N81" s="97" t="s">
        <v>165</v>
      </c>
      <c r="O81" s="97"/>
      <c r="P81" s="102">
        <v>7</v>
      </c>
      <c r="Q81" s="90">
        <v>12.81</v>
      </c>
      <c r="R81" s="87"/>
      <c r="S81" s="256">
        <f>IF((LOAA&gt;LOA),0.025*LOAA,0.025*LOA)</f>
        <v>0.32025000000000003</v>
      </c>
      <c r="T81" s="91"/>
      <c r="U81" s="91"/>
      <c r="V81" s="258">
        <f>IF((_xlfn.SINGLE(LOAA)&gt;_xlfn.SINGLE(LOA)),_xlfn.SINGLE(LOAA),_xlfn.SINGLE(LOA)-_xlfn.SINGLE(FOC)-_xlfn.SINGLE(AOC))</f>
        <v>12.81</v>
      </c>
      <c r="W81" s="259">
        <f>IF(RL&gt;0,IF(RL&gt;'Look Ups'!Y$7,'Look Ups'!Y$8,('Look Ups'!Y$3*RL^3+'Look Ups'!Y$4*RL^2+'Look Ups'!Y$5*RL+'Look Ups'!Y$6)),0)</f>
        <v>0.3</v>
      </c>
      <c r="X81" s="92">
        <v>5392</v>
      </c>
      <c r="Y81" s="262">
        <f ca="1">IF(WDATE&lt;(TODAY()-'Look Ups'!$D$4*365),-WM*'Look Ups'!$D$5/100,0)</f>
        <v>0</v>
      </c>
      <c r="Z81" s="93"/>
      <c r="AA81" s="225">
        <v>431</v>
      </c>
      <c r="AB81" s="230">
        <v>5</v>
      </c>
      <c r="AC81" s="387">
        <f>WCD+NC*'Look Ups'!$AF$3</f>
        <v>451</v>
      </c>
      <c r="AD81" s="387">
        <f ca="1">IF(RL&lt;'Look Ups'!AM$3,'Look Ups'!AM$4,IF(RL&gt;'Look Ups'!AM$5,'Look Ups'!AM$6,(RL-'Look Ups'!AM$3)/('Look Ups'!AM$5-'Look Ups'!AM$3)*('Look Ups'!AM$6-'Look Ups'!AM$4)+'Look Ups'!AM$4))/100*WS</f>
        <v>539.20000000000005</v>
      </c>
      <c r="AE81" s="266">
        <f ca="1">WM+WP+WE</f>
        <v>5392</v>
      </c>
      <c r="AF81" s="267">
        <f ca="1">_xlfn.SINGLE(WS)+IF(_xlfn.SINGLE(TCW)&gt;=_xlfn.SINGLE(CWA),_xlfn.SINGLE(CWA),_xlfn.SINGLE(TCW))</f>
        <v>5843</v>
      </c>
      <c r="AG81" s="94" t="s">
        <v>145</v>
      </c>
      <c r="AH81" s="95" t="s">
        <v>146</v>
      </c>
      <c r="AI81" s="96" t="s">
        <v>147</v>
      </c>
      <c r="AJ81" s="218"/>
      <c r="AK81" s="273">
        <f>IF(C81="",0,VLOOKUP(AG81,'Look Ups'!$F$3:$G$6,2,0)*VLOOKUP(AH81,'Look Ups'!$I$3:$J$5,2,0)*VLOOKUP(AI81,'Look Ups'!$L$3:$M$7,2,0)*IF(AJ81="",1,VLOOKUP(AJ81,'Look Ups'!$O$3:$P$4,2,0)))</f>
        <v>1</v>
      </c>
      <c r="AL81" s="83">
        <v>14.33</v>
      </c>
      <c r="AM81" s="91">
        <v>14</v>
      </c>
      <c r="AN81" s="91">
        <v>4.7</v>
      </c>
      <c r="AO81" s="91">
        <v>1.4450000000000001</v>
      </c>
      <c r="AP81" s="91">
        <v>0.215</v>
      </c>
      <c r="AQ81" s="91">
        <v>13.98</v>
      </c>
      <c r="AR81" s="91">
        <v>0.215</v>
      </c>
      <c r="AS81" s="91">
        <v>4.8449999999999998</v>
      </c>
      <c r="AT81" s="91">
        <v>0.04</v>
      </c>
      <c r="AU81" s="91"/>
      <c r="AV81" s="91" t="s">
        <v>148</v>
      </c>
      <c r="AW81" s="97"/>
      <c r="AX81" s="256">
        <f>P+ER</f>
        <v>14.02</v>
      </c>
      <c r="AY81" s="256">
        <f>P*0.375*MC</f>
        <v>0</v>
      </c>
      <c r="AZ81" s="275">
        <f>IF(C81="",0,(0.5*(_ML1*LPM)+0.5*(_ML1*HB)+0.66*(P*PR)+0.66*(_ML2*RDM)+0.66*(E*ER))*VLOOKUP(BATT,'Look Ups'!$U$3:$V$4,2,0))</f>
        <v>48.127195</v>
      </c>
      <c r="BA81" s="98"/>
      <c r="BB81" s="99"/>
      <c r="BC81" s="83">
        <v>14.05</v>
      </c>
      <c r="BD81" s="91">
        <v>4.9461000000000004</v>
      </c>
      <c r="BE81" s="91">
        <v>5.7843999999999998</v>
      </c>
      <c r="BF81" s="91">
        <v>0.10199999999999999</v>
      </c>
      <c r="BG81" s="91">
        <v>11.891999999999999</v>
      </c>
      <c r="BH81" s="91">
        <v>0</v>
      </c>
      <c r="BI81" s="91">
        <v>0</v>
      </c>
      <c r="BJ81" s="91">
        <v>-0.12759999999999999</v>
      </c>
      <c r="BK81" s="91">
        <v>-9.9699999999999997E-2</v>
      </c>
      <c r="BL81" s="97"/>
      <c r="BM81" s="275">
        <f>(0.5*LL*LPG)+(0.5*_LG1*HG)+(0.66*LL*LLRG)+(0.66*FG*FRG)+(IF((HG&gt;0),(0.66*_LG2*LRG),(0.66*_LG1*LRG)))</f>
        <v>33.209743536000005</v>
      </c>
      <c r="BN81" s="282"/>
      <c r="BO81" s="283"/>
      <c r="BP81" s="284"/>
      <c r="BQ81" s="284"/>
      <c r="BR81" s="283"/>
      <c r="BS81" s="284"/>
      <c r="BT81" s="284"/>
      <c r="BU81" s="280">
        <f>(0.5*LLS*LPS)+(0.66*LLS*LLRS)+(0.66*LS*LRS)+(0.66*FS*FRS)</f>
        <v>0</v>
      </c>
      <c r="BV81" s="285"/>
      <c r="BW81" s="283"/>
      <c r="BX81" s="283"/>
      <c r="BY81" s="283"/>
      <c r="BZ81" s="283"/>
      <c r="CA81" s="283"/>
      <c r="CB81" s="283"/>
      <c r="CC81" s="275">
        <f>(0.5*LLD*LPD)+(0.66*LLD*LLRD)+(0.66*LCHD*LRD)+(0.66*FD*FRD)</f>
        <v>0</v>
      </c>
      <c r="CD81" s="98">
        <v>11</v>
      </c>
      <c r="CE81" s="91">
        <v>15.48</v>
      </c>
      <c r="CF81" s="91">
        <v>15.48</v>
      </c>
      <c r="CG81" s="91">
        <v>9.83</v>
      </c>
      <c r="CH81" s="266">
        <f>IF(SF&gt;0,SMG/SF*100,"")</f>
        <v>89.363636363636374</v>
      </c>
      <c r="CI81" s="283"/>
      <c r="CJ81" s="280">
        <f>SF*(_SL1+_SL2)/4+(SMG-SF/2)*(_SL1+_SL2)/3</f>
        <v>129.82560000000001</v>
      </c>
      <c r="CK81" s="83"/>
      <c r="CL81" s="91"/>
      <c r="CM81" s="91"/>
      <c r="CN81" s="91"/>
      <c r="CO81" s="256" t="str">
        <f>IF(SCRF&gt;0,SCRMG/SCRF*100,"")</f>
        <v/>
      </c>
      <c r="CP81" s="286"/>
      <c r="CQ81" s="256">
        <f>SCRF*(SCRL1+SCRL2)/4+(SCRMG-SCRF/2)*(SCRL1+SCRL2)/3</f>
        <v>0</v>
      </c>
      <c r="CR81" s="256" t="str">
        <f>IF(CO81&lt;'Look Ups'!$AC$4,"Yes","No")</f>
        <v>No</v>
      </c>
      <c r="CS81" s="267">
        <f>IF(CR81="Yes",MIN(150,('Look Ups'!$AC$4-PSCR)/('Look Ups'!$AC$4-'Look Ups'!$AC$3)*100),0)</f>
        <v>0</v>
      </c>
      <c r="CT81" s="83"/>
      <c r="CU81" s="91"/>
      <c r="CV81" s="91"/>
      <c r="CW81" s="91"/>
      <c r="CX81" s="256" t="str">
        <f>IF(USCRF&gt;0,USCRMG/USCRF*100,"")</f>
        <v/>
      </c>
      <c r="CY81" s="293">
        <f>IF(PUSCR&lt;'Look Ups'!$AC$4,MIN(150,('Look Ups'!$AC$4-PUSCR)/('Look Ups'!$AC$4-'Look Ups'!$AC$3)*100),0)</f>
        <v>0</v>
      </c>
      <c r="CZ81" s="275">
        <f>IF(PUSCR&lt;'Look Ups'!$AC$4,USCRF*(USCRL1+USCRL2)/4+(USCRMG-USCRF/2)*(USCRL1+USCRL2)/3,0)</f>
        <v>0</v>
      </c>
      <c r="DA81" s="294">
        <f>IF(ZVAL=1,1,IF(LPM&gt;0,0.64*((AM+MAM)/(E+(MC/2))^2)^0.3,0))</f>
        <v>1</v>
      </c>
      <c r="DB81" s="256">
        <f>0.65*((AM+MAM)*EFM)+0.35*((AM+MAM)*ZVAL)</f>
        <v>48.127195</v>
      </c>
      <c r="DC81" s="256">
        <f>IF(ZVAL=1,1,IF(LPG&gt;0,0.72*(AG/(LPG^2))^0.3,0))</f>
        <v>1</v>
      </c>
      <c r="DD81" s="256">
        <f>AG*EFG</f>
        <v>33.209743536000005</v>
      </c>
      <c r="DE81" s="256">
        <f>IF(AZ81&gt;0,'Look Ups'!$S$3,0)</f>
        <v>1</v>
      </c>
      <c r="DF81" s="256">
        <f>IF(LPS&gt;0,0.72*(AS/(LPS^2))^0.3,0)</f>
        <v>0</v>
      </c>
      <c r="DG81" s="256">
        <f>EFS*AS</f>
        <v>0</v>
      </c>
      <c r="DH81" s="256">
        <f>IF(LPD&gt;0,0.72*(AD/(LPD^2))^0.3,0)</f>
        <v>0</v>
      </c>
      <c r="DI81" s="280">
        <f>IF((AD-AG)&gt;0,0.3*(AD-AG)*EFD,0)</f>
        <v>0</v>
      </c>
      <c r="DJ81" s="295" t="str">
        <f>IF((SCRF=0),"-",IF(AND(MSASC&gt;AG,SCRMG&lt;(0.75*SCRF)),"valid","ERROR"))</f>
        <v>-</v>
      </c>
      <c r="DK81" s="266" t="str">
        <f>IF((SF=0),"-",IF((SMG&lt;(0.75*SF)),"ERROR",IF(AND(MSASP&gt;MSASC,MSASP&gt;AG,MSASP&gt;=0.36*RSAM),"valid","Small")))</f>
        <v>valid</v>
      </c>
      <c r="DL81" s="267" t="str">
        <f>IF(C81="","",CONCATENATE("MG",IF(FLSCR="valid","Scr",""),IF(FLSPI="valid","SP","")))</f>
        <v>MGSP</v>
      </c>
      <c r="DM81" s="294">
        <f>RSAM+RSAG</f>
        <v>81.336938536000005</v>
      </c>
      <c r="DN81" s="256">
        <f>IF(MSASP&gt;0,'Look Ups'!$AI$4*(ZVAL*MSASP-RSAG),0)</f>
        <v>28.9847569392</v>
      </c>
      <c r="DO81" s="256">
        <f>IF(AND(MSASC&gt;0,(MSASC&gt;=0.36*RSAM)),('Look Ups'!$AI$3*(ZVAL*MSASC-RSAG)),(0))</f>
        <v>0</v>
      </c>
      <c r="DP81" s="256">
        <f>IF(MSASP&gt;0,'Look Ups'!$AI$5*(ZVAL*MSASP-RSAG),0)</f>
        <v>27.052439809920003</v>
      </c>
      <c r="DQ81" s="256">
        <f>IF(MSASC&gt;0,'Look Ups'!$AI$6*(MSASC-RSAG),0)</f>
        <v>0</v>
      </c>
      <c r="DR81" s="280">
        <f>'Look Ups'!$AI$7*MAX(IF(MSAUSC&gt;0,EUSC/100*(MSAUSC-RSAG),0),IF(CR81="Yes",ELSC/100*(MSASC-RSAG),0))</f>
        <v>0</v>
      </c>
      <c r="DS81" s="280">
        <f>0.36*RSAM</f>
        <v>17.3257902</v>
      </c>
      <c r="DT81" s="296">
        <f>_xlfn.IFS(SPC="MG",RAMG+DS81,SPC="MGScr",RAMG+RASCO,SPC="MGSp",RAMG+RASPO,SPC="MGScrSp",RAMG+RASPSC+RASCR)+RAUSC+RSAST+RSAD+RSAMZ+RSA2M</f>
        <v>110.3216954752</v>
      </c>
      <c r="DU81" s="63"/>
    </row>
    <row r="82" spans="1:125" ht="15.6" customHeight="1" x14ac:dyDescent="0.3">
      <c r="A82" s="4"/>
      <c r="B82" s="64"/>
      <c r="C82" s="64" t="s">
        <v>374</v>
      </c>
      <c r="D82" s="85" t="s">
        <v>319</v>
      </c>
      <c r="E82" s="86" t="s">
        <v>375</v>
      </c>
      <c r="F82" s="252">
        <f ca="1">IF(RW=0,0,ROUND(DLF*0.93*RL^LF*RSA^0.4/RW^0.325,3))</f>
        <v>0.96299999999999997</v>
      </c>
      <c r="G82" s="252" t="str">
        <f ca="1">IF(OR(FLSCR="ERROR",FLSPI="ERROR"),"No",IF(TODAY()-'Look Ups'!$D$4*365&gt;I82,"WP Applied","Yes"))</f>
        <v>Yes</v>
      </c>
      <c r="H82" s="253" t="str">
        <f>IF(SPC="","",CONCATENATE("Main-Genoa",IF(FLSCR="valid",IF(OR(CR82="Yes",MSAUSC&gt;0),"-Screacher (Upwind)","-Screacher"),""),IF(FLSPI="valid","-Spinnaker",""),IF(RSAMZ&gt;0,"-Mizzen",""),IF(RSA2M&gt;0,"-Second Main",""),IF(AS&gt;0,"-Staysail",""),IF(AD&gt;0,"-Drifter","")))</f>
        <v>Main-Genoa-Screacher (Upwind)-Spinnaker</v>
      </c>
      <c r="I82" s="1">
        <v>42593</v>
      </c>
      <c r="J82" s="1">
        <v>42593</v>
      </c>
      <c r="K82" s="87" t="s">
        <v>236</v>
      </c>
      <c r="L82" s="87" t="s">
        <v>159</v>
      </c>
      <c r="M82" s="207"/>
      <c r="N82" s="88" t="s">
        <v>165</v>
      </c>
      <c r="O82" s="88"/>
      <c r="P82" s="100"/>
      <c r="Q82" s="90">
        <v>9.0500000000000007</v>
      </c>
      <c r="R82" s="87"/>
      <c r="S82" s="256">
        <f>IF((LOAA&gt;LOA),0.025*LOAA,0.025*LOA)</f>
        <v>0.22625000000000003</v>
      </c>
      <c r="T82" s="91"/>
      <c r="U82" s="91"/>
      <c r="V82" s="258">
        <f>IF((_xlfn.SINGLE(LOAA)&gt;_xlfn.SINGLE(LOA)),_xlfn.SINGLE(LOAA),_xlfn.SINGLE(LOA)-_xlfn.SINGLE(FOC)-_xlfn.SINGLE(AOC))</f>
        <v>9.0500000000000007</v>
      </c>
      <c r="W82" s="259">
        <f>IF(RL&gt;0,IF(RL&gt;'Look Ups'!Y$7,'Look Ups'!Y$8,('Look Ups'!Y$3*RL^3+'Look Ups'!Y$4*RL^2+'Look Ups'!Y$5*RL+'Look Ups'!Y$6)),0)</f>
        <v>0.29677168162500001</v>
      </c>
      <c r="X82" s="92">
        <v>1175</v>
      </c>
      <c r="Y82" s="262">
        <f ca="1">IF(WDATE&lt;(TODAY()-'Look Ups'!$D$4*365),-WM*'Look Ups'!$D$5/100,0)</f>
        <v>0</v>
      </c>
      <c r="Z82" s="93"/>
      <c r="AA82" s="93"/>
      <c r="AB82" s="75"/>
      <c r="AC82" s="265">
        <f>WCD+NC*'Look Ups'!$AF$3</f>
        <v>0</v>
      </c>
      <c r="AD82" s="265">
        <f ca="1">IF(RL&lt;'Look Ups'!AM$3,'Look Ups'!AM$4,IF(RL&gt;'Look Ups'!AM$5,'Look Ups'!AM$6,(RL-'Look Ups'!AM$3)/('Look Ups'!AM$5-'Look Ups'!AM$3)*('Look Ups'!AM$6-'Look Ups'!AM$4)+'Look Ups'!AM$4))/100*WS</f>
        <v>252.09090909090909</v>
      </c>
      <c r="AE82" s="266">
        <f ca="1">WM+WP+WE</f>
        <v>1175</v>
      </c>
      <c r="AF82" s="267">
        <f ca="1">_xlfn.SINGLE(WS)+IF(_xlfn.SINGLE(TCW)&gt;=_xlfn.SINGLE(CWA),_xlfn.SINGLE(CWA),_xlfn.SINGLE(TCW))</f>
        <v>1175</v>
      </c>
      <c r="AG82" s="94" t="s">
        <v>145</v>
      </c>
      <c r="AH82" s="95" t="s">
        <v>146</v>
      </c>
      <c r="AI82" s="96" t="s">
        <v>147</v>
      </c>
      <c r="AJ82" s="218"/>
      <c r="AK82" s="273">
        <f>IF(C82="",0,VLOOKUP(AG82,'Look Ups'!$F$3:$G$6,2,0)*VLOOKUP(AH82,'Look Ups'!$I$3:$J$5,2,0)*VLOOKUP(AI82,'Look Ups'!$L$3:$M$7,2,0)*IF(AJ82="",1,VLOOKUP(AJ82,'Look Ups'!$O$3:$P$4,2,0)))</f>
        <v>1</v>
      </c>
      <c r="AL82" s="83">
        <v>12.6</v>
      </c>
      <c r="AM82" s="91">
        <v>12.33</v>
      </c>
      <c r="AN82" s="91">
        <v>3.88</v>
      </c>
      <c r="AO82" s="91">
        <v>1.43</v>
      </c>
      <c r="AP82" s="91">
        <v>0.3</v>
      </c>
      <c r="AQ82" s="91">
        <v>12.42</v>
      </c>
      <c r="AR82" s="91">
        <v>0.21</v>
      </c>
      <c r="AS82" s="91">
        <v>4</v>
      </c>
      <c r="AT82" s="91">
        <v>0.05</v>
      </c>
      <c r="AU82" s="91"/>
      <c r="AV82" s="91" t="s">
        <v>148</v>
      </c>
      <c r="AW82" s="97"/>
      <c r="AX82" s="256">
        <f>P+ER</f>
        <v>12.47</v>
      </c>
      <c r="AY82" s="256">
        <f>P*0.375*MC</f>
        <v>0</v>
      </c>
      <c r="AZ82" s="275">
        <f>IF(C82="",0,(0.5*(_ML1*LPM)+0.5*(_ML1*HB)+0.66*(P*PR)+0.66*(_ML2*RDM)+0.66*(E*ER))*VLOOKUP(BATT,'Look Ups'!$U$3:$V$4,2,0))</f>
        <v>37.747751999999991</v>
      </c>
      <c r="BA82" s="98"/>
      <c r="BB82" s="99"/>
      <c r="BC82" s="83">
        <v>10.210000000000001</v>
      </c>
      <c r="BD82" s="91">
        <v>2.5300000000000002</v>
      </c>
      <c r="BE82" s="91">
        <v>2.66</v>
      </c>
      <c r="BF82" s="91">
        <v>0.13</v>
      </c>
      <c r="BG82" s="91">
        <v>9.77</v>
      </c>
      <c r="BH82" s="91">
        <v>0</v>
      </c>
      <c r="BI82" s="91"/>
      <c r="BJ82" s="91"/>
      <c r="BK82" s="91">
        <v>-0.01</v>
      </c>
      <c r="BL82" s="97"/>
      <c r="BM82" s="275">
        <f>(0.5*LL*LPG)+(0.5*_LG1*HG)+(0.66*LL*LLRG)+(0.66*FG*FRG)+(IF((HG&gt;0),(0.66*_LG2*LRG),(0.66*_LG1*LRG)))</f>
        <v>13.076492000000002</v>
      </c>
      <c r="BN82" s="282"/>
      <c r="BO82" s="283"/>
      <c r="BP82" s="284"/>
      <c r="BQ82" s="284"/>
      <c r="BR82" s="283"/>
      <c r="BS82" s="284"/>
      <c r="BT82" s="284"/>
      <c r="BU82" s="280">
        <f>(0.5*LLS*LPS)+(0.66*LLS*LLRS)+(0.66*LS*LRS)+(0.66*FS*FRS)</f>
        <v>0</v>
      </c>
      <c r="BV82" s="285"/>
      <c r="BW82" s="283"/>
      <c r="BX82" s="283"/>
      <c r="BY82" s="283"/>
      <c r="BZ82" s="283"/>
      <c r="CA82" s="283"/>
      <c r="CB82" s="283"/>
      <c r="CC82" s="275">
        <f>(0.5*LLD*LPD)+(0.66*LLD*LLRD)+(0.66*LCHD*LRD)+(0.66*FD*FRD)</f>
        <v>0</v>
      </c>
      <c r="CD82" s="98">
        <v>6.86</v>
      </c>
      <c r="CE82" s="91">
        <v>14.04</v>
      </c>
      <c r="CF82" s="91">
        <v>12.36</v>
      </c>
      <c r="CG82" s="91">
        <v>5.16</v>
      </c>
      <c r="CH82" s="266">
        <f>IF(SF&gt;0,SMG/SF*100,"")</f>
        <v>75.218658892128275</v>
      </c>
      <c r="CI82" s="283"/>
      <c r="CJ82" s="280">
        <f>SF*(_SL1+_SL2)/4+(SMG-SF/2)*(_SL1+_SL2)/3</f>
        <v>60.499999999999993</v>
      </c>
      <c r="CK82" s="83">
        <v>4.93</v>
      </c>
      <c r="CL82" s="91">
        <v>12.02</v>
      </c>
      <c r="CM82" s="91">
        <v>10.53</v>
      </c>
      <c r="CN82" s="91">
        <v>2.48</v>
      </c>
      <c r="CO82" s="256">
        <f>IF(SCRF&gt;0,SCRMG/SCRF*100,"")</f>
        <v>50.304259634888439</v>
      </c>
      <c r="CP82" s="283"/>
      <c r="CQ82" s="256">
        <f>SCRF*(SCRL1+SCRL2)/4+(SCRMG-SCRF/2)*(SCRL1+SCRL2)/3</f>
        <v>27.905624999999997</v>
      </c>
      <c r="CR82" s="256" t="str">
        <f>IF(CO82&lt;'Look Ups'!$AC$4,"Yes","No")</f>
        <v>Yes</v>
      </c>
      <c r="CS82" s="267">
        <f>IF(CR82="Yes",MIN(150,('Look Ups'!$AC$4-PSCR)/('Look Ups'!$AC$4-'Look Ups'!$AC$3)*100),0)</f>
        <v>33.914807302231225</v>
      </c>
      <c r="CT82" s="83"/>
      <c r="CU82" s="91"/>
      <c r="CV82" s="91"/>
      <c r="CW82" s="91"/>
      <c r="CX82" s="256" t="str">
        <f>IF(USCRF&gt;0,USCRMG/USCRF*100,"")</f>
        <v/>
      </c>
      <c r="CY82" s="293">
        <f>IF(PUSCR&lt;'Look Ups'!$AC$4,MIN(150,('Look Ups'!$AC$4-PUSCR)/('Look Ups'!$AC$4-'Look Ups'!$AC$3)*100),0)</f>
        <v>0</v>
      </c>
      <c r="CZ82" s="275">
        <f>IF(PUSCR&lt;'Look Ups'!$AC$4,USCRF*(USCRL1+USCRL2)/4+(USCRMG-USCRF/2)*(USCRL1+USCRL2)/3,0)</f>
        <v>0</v>
      </c>
      <c r="DA82" s="294">
        <f>IF(ZVAL=1,1,IF(LPM&gt;0,0.64*((AM+MAM)/(E+(MC/2))^2)^0.3,0))</f>
        <v>1</v>
      </c>
      <c r="DB82" s="256">
        <f>0.65*((AM+MAM)*EFM)+0.35*((AM+MAM)*ZVAL)</f>
        <v>37.747751999999991</v>
      </c>
      <c r="DC82" s="256">
        <f>IF(ZVAL=1,1,IF(LPG&gt;0,0.72*(AG/(LPG^2))^0.3,0))</f>
        <v>1</v>
      </c>
      <c r="DD82" s="256">
        <f>AG*EFG</f>
        <v>13.076492000000002</v>
      </c>
      <c r="DE82" s="256">
        <f>IF(AZ82&gt;0,'Look Ups'!$S$3,0)</f>
        <v>1</v>
      </c>
      <c r="DF82" s="256">
        <f>IF(LPS&gt;0,0.72*(AS/(LPS^2))^0.3,0)</f>
        <v>0</v>
      </c>
      <c r="DG82" s="256">
        <f>EFS*AS</f>
        <v>0</v>
      </c>
      <c r="DH82" s="256">
        <f>IF(LPD&gt;0,0.72*(AD/(LPD^2))^0.3,0)</f>
        <v>0</v>
      </c>
      <c r="DI82" s="280">
        <f>IF((AD-AG)&gt;0,0.3*(AD-AG)*EFD,0)</f>
        <v>0</v>
      </c>
      <c r="DJ82" s="295" t="str">
        <f>IF((SCRF=0),"-",IF(AND(MSASC&gt;AG,SCRMG&lt;(0.75*SCRF)),"valid","ERROR"))</f>
        <v>valid</v>
      </c>
      <c r="DK82" s="266" t="str">
        <f>IF((SF=0),"-",IF((SMG&lt;(0.75*SF)),"ERROR",IF(AND(MSASP&gt;MSASC,MSASP&gt;AG,MSASP&gt;=0.36*RSAM),"valid","Small")))</f>
        <v>valid</v>
      </c>
      <c r="DL82" s="267" t="str">
        <f>IF(C82="","",CONCATENATE("MG",IF(FLSCR="valid","Scr",""),IF(FLSPI="valid","SP","")))</f>
        <v>MGScrSP</v>
      </c>
      <c r="DM82" s="294">
        <f>RSAM+RSAG</f>
        <v>50.824243999999993</v>
      </c>
      <c r="DN82" s="256">
        <f>IF(MSASP&gt;0,'Look Ups'!$AI$4*(ZVAL*MSASP-RSAG),0)</f>
        <v>14.227052399999996</v>
      </c>
      <c r="DO82" s="256">
        <f>IF(AND(MSASC&gt;0,(MSASC&gt;=0.36*RSAM)),('Look Ups'!$AI$3*(ZVAL*MSASC-RSAG)),(0))</f>
        <v>5.1901965499999978</v>
      </c>
      <c r="DP82" s="256">
        <f>IF(MSASP&gt;0,'Look Ups'!$AI$5*(ZVAL*MSASP-RSAG),0)</f>
        <v>13.278582239999999</v>
      </c>
      <c r="DQ82" s="256">
        <f>IF(MSASC&gt;0,'Look Ups'!$AI$6*(MSASC-RSAG),0)</f>
        <v>1.0380393099999998</v>
      </c>
      <c r="DR82" s="280">
        <f>'Look Ups'!$AI$7*MAX(IF(MSAUSC&gt;0,EUSC/100*(MSAUSC-RSAG),0),IF(CR82="Yes",ELSC/100*(MSASC-RSAG),0))</f>
        <v>1.2573179703853947</v>
      </c>
      <c r="DS82" s="280">
        <f>0.36*RSAM</f>
        <v>13.589190719999996</v>
      </c>
      <c r="DT82" s="296">
        <f>_xlfn.IFS(SPC="MG",RAMG+DS82,SPC="MGScr",RAMG+RASCO,SPC="MGSp",RAMG+RASPO,SPC="MGScrSp",RAMG+RASPSC+RASCR)+RAUSC+RSAST+RSAD+RSAMZ+RSA2M</f>
        <v>66.398183520385388</v>
      </c>
      <c r="DU82" s="63"/>
    </row>
    <row r="83" spans="1:125" ht="15.6" customHeight="1" x14ac:dyDescent="0.3">
      <c r="A83" s="4"/>
      <c r="B83" s="65"/>
      <c r="C83" s="64" t="s">
        <v>1186</v>
      </c>
      <c r="D83" s="85" t="s">
        <v>214</v>
      </c>
      <c r="E83" s="86" t="s">
        <v>1187</v>
      </c>
      <c r="F83" s="252">
        <f ca="1">IF(RW=0,0,ROUND(DLF*0.93*RL^LF*RSA^0.4/RW^0.325,3))</f>
        <v>1.0649999999999999</v>
      </c>
      <c r="G83" s="252" t="str">
        <f ca="1">IF(OR(FLSCR="ERROR",FLSPI="ERROR"),"No",IF(TODAY()-'Look Ups'!$D$4*365&gt;I83,"WP Applied","Yes"))</f>
        <v>Yes</v>
      </c>
      <c r="H83" s="253" t="str">
        <f>IF(SPC="","",CONCATENATE("Main-Genoa",IF(FLSCR="valid",IF(OR(CR83="Yes",MSAUSC&gt;0),"-Screacher (Upwind)","-Screacher"),""),IF(FLSPI="valid","-Spinnaker",""),IF(RSAMZ&gt;0,"-Mizzen",""),IF(RSA2M&gt;0,"-Second Main",""),IF(AS&gt;0,"-Staysail",""),IF(AD&gt;0,"-Drifter","")))</f>
        <v>Main-Genoa-Screacher (Upwind)-Spinnaker</v>
      </c>
      <c r="I83" s="1">
        <v>43007</v>
      </c>
      <c r="J83" s="1">
        <v>45412</v>
      </c>
      <c r="K83" s="87" t="s">
        <v>164</v>
      </c>
      <c r="L83" s="87" t="s">
        <v>164</v>
      </c>
      <c r="M83" s="207"/>
      <c r="N83" s="88" t="s">
        <v>165</v>
      </c>
      <c r="O83" s="88"/>
      <c r="P83" s="100"/>
      <c r="Q83" s="90">
        <v>11.39</v>
      </c>
      <c r="R83" s="87"/>
      <c r="S83" s="256">
        <f>IF((LOAA&gt;LOA),0.025*LOAA,0.025*LOA)</f>
        <v>0.28475</v>
      </c>
      <c r="T83" s="91">
        <v>0</v>
      </c>
      <c r="U83" s="91">
        <v>0</v>
      </c>
      <c r="V83" s="258">
        <f>IF((_xlfn.SINGLE(LOAA)&gt;_xlfn.SINGLE(LOA)),_xlfn.SINGLE(LOAA),_xlfn.SINGLE(LOA)-_xlfn.SINGLE(FOC)-_xlfn.SINGLE(AOC))</f>
        <v>11.39</v>
      </c>
      <c r="W83" s="259">
        <f>IF(RL&gt;0,IF(RL&gt;'Look Ups'!Y$7,'Look Ups'!Y$8,('Look Ups'!Y$3*RL^3+'Look Ups'!Y$4*RL^2+'Look Ups'!Y$5*RL+'Look Ups'!Y$6)),0)</f>
        <v>0.29974246442700003</v>
      </c>
      <c r="X83" s="92">
        <v>2128</v>
      </c>
      <c r="Y83" s="262">
        <f ca="1">IF(WDATE&lt;(TODAY()-'Look Ups'!$D$4*365),-WM*'Look Ups'!$D$5/100,0)</f>
        <v>0</v>
      </c>
      <c r="Z83" s="87"/>
      <c r="AA83" s="75"/>
      <c r="AB83" s="231"/>
      <c r="AC83" s="265">
        <f>WCD+NC*'Look Ups'!$AF$3</f>
        <v>0</v>
      </c>
      <c r="AD83" s="265">
        <f ca="1">IF(RL&lt;'Look Ups'!AM$3,'Look Ups'!AM$4,IF(RL&gt;'Look Ups'!AM$5,'Look Ups'!AM$6,(RL-'Look Ups'!AM$3)/('Look Ups'!AM$5-'Look Ups'!AM$3)*('Look Ups'!AM$6-'Look Ups'!AM$4)+'Look Ups'!AM$4))/100*WS</f>
        <v>275.47927272727264</v>
      </c>
      <c r="AE83" s="266">
        <f ca="1">WM+WP+WE</f>
        <v>2128</v>
      </c>
      <c r="AF83" s="267">
        <f ca="1">_xlfn.SINGLE(WS)+IF(_xlfn.SINGLE(TCW)&gt;=_xlfn.SINGLE(CWA),_xlfn.SINGLE(CWA),_xlfn.SINGLE(TCW))</f>
        <v>2128</v>
      </c>
      <c r="AG83" s="94" t="s">
        <v>145</v>
      </c>
      <c r="AH83" s="95" t="s">
        <v>146</v>
      </c>
      <c r="AI83" s="96" t="s">
        <v>147</v>
      </c>
      <c r="AJ83" s="218"/>
      <c r="AK83" s="273">
        <f>IF(C83="",0,VLOOKUP(AG83,'Look Ups'!$F$3:$G$6,2,0)*VLOOKUP(AH83,'Look Ups'!$I$3:$J$5,2,0)*VLOOKUP(AI83,'Look Ups'!$L$3:$M$7,2,0)*IF(AJ83="",1,VLOOKUP(AJ83,'Look Ups'!$O$3:$P$4,2,0)))</f>
        <v>1</v>
      </c>
      <c r="AL83" s="83">
        <v>15.125</v>
      </c>
      <c r="AM83" s="91">
        <v>14.81</v>
      </c>
      <c r="AN83" s="91">
        <v>4.74</v>
      </c>
      <c r="AO83" s="91">
        <v>1.69</v>
      </c>
      <c r="AP83" s="91">
        <v>0.51</v>
      </c>
      <c r="AQ83" s="91">
        <v>14.8</v>
      </c>
      <c r="AR83" s="91">
        <v>0.24</v>
      </c>
      <c r="AS83" s="91">
        <v>4.8499999999999996</v>
      </c>
      <c r="AT83" s="91">
        <v>0.06</v>
      </c>
      <c r="AU83" s="91">
        <v>0.55000000000000004</v>
      </c>
      <c r="AV83" s="91" t="s">
        <v>148</v>
      </c>
      <c r="AW83" s="97">
        <v>0</v>
      </c>
      <c r="AX83" s="256">
        <f>P+ER</f>
        <v>14.860000000000001</v>
      </c>
      <c r="AY83" s="256">
        <f>P*0.375*MC</f>
        <v>3.0525000000000007</v>
      </c>
      <c r="AZ83" s="275">
        <f>IF(C83="",0,(0.5*(_ML1*LPM)+0.5*(_ML1*HB)+0.66*(P*PR)+0.66*(_ML2*RDM)+0.66*(E*ER))*VLOOKUP(BATT,'Look Ups'!$U$3:$V$4,2,0))</f>
        <v>56.148301000000004</v>
      </c>
      <c r="BA83" s="98"/>
      <c r="BB83" s="99"/>
      <c r="BC83" s="83">
        <v>13.32</v>
      </c>
      <c r="BD83" s="91">
        <v>3.58</v>
      </c>
      <c r="BE83" s="91">
        <v>3.66</v>
      </c>
      <c r="BF83" s="91">
        <v>0.05</v>
      </c>
      <c r="BG83" s="91">
        <v>13.07</v>
      </c>
      <c r="BH83" s="91"/>
      <c r="BI83" s="91"/>
      <c r="BJ83" s="91">
        <v>-0.01</v>
      </c>
      <c r="BK83" s="91">
        <v>7.0000000000000007E-2</v>
      </c>
      <c r="BL83" s="97">
        <v>0</v>
      </c>
      <c r="BM83" s="275">
        <f>(0.5*LL*LPG)+(0.5*_LG1*HG)+(0.66*LL*LLRG)+(0.66*FG*FRG)+(IF((HG&gt;0),(0.66*_LG2*LRG),(0.66*_LG1*LRG)))</f>
        <v>24.492701999999998</v>
      </c>
      <c r="BN83" s="282"/>
      <c r="BO83" s="283"/>
      <c r="BP83" s="284"/>
      <c r="BQ83" s="284"/>
      <c r="BR83" s="283"/>
      <c r="BS83" s="284"/>
      <c r="BT83" s="284"/>
      <c r="BU83" s="280">
        <f>(0.5*LLS*LPS)+(0.66*LLS*LLRS)+(0.66*LS*LRS)+(0.66*FS*FRS)</f>
        <v>0</v>
      </c>
      <c r="BV83" s="285"/>
      <c r="BW83" s="283"/>
      <c r="BX83" s="283"/>
      <c r="BY83" s="283"/>
      <c r="BZ83" s="283"/>
      <c r="CA83" s="283"/>
      <c r="CB83" s="283"/>
      <c r="CC83" s="275">
        <f>(0.5*LLD*LPD)+(0.66*LLD*LLRD)+(0.66*LCHD*LRD)+(0.66*FD*FRD)</f>
        <v>0</v>
      </c>
      <c r="CD83" s="98">
        <v>10.17</v>
      </c>
      <c r="CE83" s="91">
        <v>17.79</v>
      </c>
      <c r="CF83" s="91">
        <v>15.7</v>
      </c>
      <c r="CG83" s="91">
        <v>7.8</v>
      </c>
      <c r="CH83" s="266">
        <f>IF(SF&gt;0,SMG/SF*100,"")</f>
        <v>76.696165191740405</v>
      </c>
      <c r="CI83" s="283"/>
      <c r="CJ83" s="280">
        <f>SF*(_SL1+_SL2)/4+(SMG-SF/2)*(_SL1+_SL2)/3</f>
        <v>115.45677499999998</v>
      </c>
      <c r="CK83" s="83">
        <v>10.18</v>
      </c>
      <c r="CL83" s="91">
        <v>16.16</v>
      </c>
      <c r="CM83" s="91">
        <v>15.7</v>
      </c>
      <c r="CN83" s="91">
        <v>5.24</v>
      </c>
      <c r="CO83" s="256">
        <f>IF(SCRF&gt;0,SCRMG/SCRF*100,"")</f>
        <v>51.47347740667977</v>
      </c>
      <c r="CP83" s="283"/>
      <c r="CQ83" s="256">
        <f>SCRF*(SCRL1+SCRL2)/4+(SCRMG-SCRF/2)*(SCRL1+SCRL2)/3</f>
        <v>82.676699999999997</v>
      </c>
      <c r="CR83" s="256" t="str">
        <f>IF(CO83&lt;'Look Ups'!$AC$4,"Yes","No")</f>
        <v>Yes</v>
      </c>
      <c r="CS83" s="267">
        <f>IF(CR83="Yes",MIN(150,('Look Ups'!$AC$4-PSCR)/('Look Ups'!$AC$4-'Look Ups'!$AC$3)*100),0)</f>
        <v>10.530451866404604</v>
      </c>
      <c r="CT83" s="83"/>
      <c r="CU83" s="91"/>
      <c r="CV83" s="91"/>
      <c r="CW83" s="91"/>
      <c r="CX83" s="256" t="str">
        <f>IF(USCRF&gt;0,USCRMG/USCRF*100,"")</f>
        <v/>
      </c>
      <c r="CY83" s="293">
        <f>IF(PUSCR&lt;'Look Ups'!$AC$4,MIN(150,('Look Ups'!$AC$4-PUSCR)/('Look Ups'!$AC$4-'Look Ups'!$AC$3)*100),0)</f>
        <v>0</v>
      </c>
      <c r="CZ83" s="275">
        <f>IF(PUSCR&lt;'Look Ups'!$AC$4,USCRF*(USCRL1+USCRL2)/4+(USCRMG-USCRF/2)*(USCRL1+USCRL2)/3,0)</f>
        <v>0</v>
      </c>
      <c r="DA83" s="294">
        <f>IF(ZVAL=1,1,IF(LPM&gt;0,0.64*((AM+MAM)/(E+(MC/2))^2)^0.3,0))</f>
        <v>1</v>
      </c>
      <c r="DB83" s="256">
        <f>0.65*((AM+MAM)*EFM)+0.35*((AM+MAM)*ZVAL)</f>
        <v>59.200800999999998</v>
      </c>
      <c r="DC83" s="256">
        <f>IF(ZVAL=1,1,IF(LPG&gt;0,0.72*(AG/(LPG^2))^0.3,0))</f>
        <v>1</v>
      </c>
      <c r="DD83" s="256">
        <f>AG*EFG</f>
        <v>24.492701999999998</v>
      </c>
      <c r="DE83" s="256">
        <f>IF(AZ83&gt;0,'Look Ups'!$S$3,0)</f>
        <v>1</v>
      </c>
      <c r="DF83" s="256">
        <f>IF(LPS&gt;0,0.72*(AS/(LPS^2))^0.3,0)</f>
        <v>0</v>
      </c>
      <c r="DG83" s="256">
        <f>EFS*AS</f>
        <v>0</v>
      </c>
      <c r="DH83" s="256">
        <f>IF(LPD&gt;0,0.72*(AD/(LPD^2))^0.3,0)</f>
        <v>0</v>
      </c>
      <c r="DI83" s="280">
        <f>IF((AD-AG)&gt;0,0.3*(AD-AG)*EFD,0)</f>
        <v>0</v>
      </c>
      <c r="DJ83" s="295" t="str">
        <f>IF((SCRF=0),"-",IF(AND(MSASC&gt;AG,SCRMG&lt;(0.75*SCRF)),"valid","ERROR"))</f>
        <v>valid</v>
      </c>
      <c r="DK83" s="266" t="str">
        <f>IF((SF=0),"-",IF((SMG&lt;(0.75*SF)),"ERROR",IF(AND(MSASP&gt;MSASC,MSASP&gt;AG,MSASP&gt;=0.36*RSAM),"valid","Small")))</f>
        <v>valid</v>
      </c>
      <c r="DL83" s="267" t="str">
        <f>IF(C83="","",CONCATENATE("MG",IF(FLSCR="valid","Scr",""),IF(FLSPI="valid","SP","")))</f>
        <v>MGScrSP</v>
      </c>
      <c r="DM83" s="294">
        <f>RSAM+RSAG</f>
        <v>83.693502999999993</v>
      </c>
      <c r="DN83" s="256">
        <f>IF(MSASP&gt;0,'Look Ups'!$AI$4*(ZVAL*MSASP-RSAG),0)</f>
        <v>27.289221899999994</v>
      </c>
      <c r="DO83" s="256">
        <f>IF(AND(MSASC&gt;0,(MSASC&gt;=0.36*RSAM)),('Look Ups'!$AI$3*(ZVAL*MSASC-RSAG)),(0))</f>
        <v>20.364399299999999</v>
      </c>
      <c r="DP83" s="256">
        <f>IF(MSASP&gt;0,'Look Ups'!$AI$5*(ZVAL*MSASP-RSAG),0)</f>
        <v>25.469940439999998</v>
      </c>
      <c r="DQ83" s="256">
        <f>IF(MSASC&gt;0,'Look Ups'!$AI$6*(MSASC-RSAG),0)</f>
        <v>4.0728798600000005</v>
      </c>
      <c r="DR83" s="280">
        <f>'Look Ups'!$AI$7*MAX(IF(MSAUSC&gt;0,EUSC/100*(MSAUSC-RSAG),0),IF(CR83="Yes",ELSC/100*(MSASC-RSAG),0))</f>
        <v>1.5317594758349544</v>
      </c>
      <c r="DS83" s="280">
        <f>0.36*RSAM</f>
        <v>21.31228836</v>
      </c>
      <c r="DT83" s="296">
        <f>_xlfn.IFS(SPC="MG",RAMG+DS83,SPC="MGScr",RAMG+RASCO,SPC="MGSp",RAMG+RASPO,SPC="MGScrSp",RAMG+RASPSC+RASCR)+RAUSC+RSAST+RSAD+RSAMZ+RSA2M</f>
        <v>114.76808277583496</v>
      </c>
      <c r="DU83" s="63"/>
    </row>
    <row r="84" spans="1:125" ht="15.6" customHeight="1" x14ac:dyDescent="0.3">
      <c r="A84" s="4"/>
      <c r="B84" s="64"/>
      <c r="C84" s="65" t="s">
        <v>377</v>
      </c>
      <c r="D84" s="111" t="s">
        <v>378</v>
      </c>
      <c r="E84" s="86" t="s">
        <v>162</v>
      </c>
      <c r="F84" s="252">
        <f ca="1">IF(RW=0,0,ROUND(DLF*0.93*RL^LF*RSA^0.4/RW^0.325,3))</f>
        <v>1.1890000000000001</v>
      </c>
      <c r="G84" s="252" t="str">
        <f ca="1">IF(OR(FLSCR="ERROR",FLSPI="ERROR"),"No",IF(TODAY()-'Look Ups'!$D$4*365&gt;I84,"WP Applied","Yes"))</f>
        <v>Yes</v>
      </c>
      <c r="H84" s="253" t="str">
        <f>IF(SPC="","",CONCATENATE("Main-Genoa",IF(FLSCR="valid",IF(OR(CR84="Yes",MSAUSC&gt;0),"-Screacher (Upwind)","-Screacher"),""),IF(FLSPI="valid","-Spinnaker",""),IF(RSAMZ&gt;0,"-Mizzen",""),IF(RSA2M&gt;0,"-Second Main",""),IF(AS&gt;0,"-Staysail",""),IF(AD&gt;0,"-Drifter","")))</f>
        <v>Main-Genoa-Screacher (Upwind)</v>
      </c>
      <c r="I84" s="68">
        <v>45512</v>
      </c>
      <c r="J84" s="68">
        <v>45512</v>
      </c>
      <c r="K84" s="69" t="s">
        <v>163</v>
      </c>
      <c r="L84" s="69" t="s">
        <v>164</v>
      </c>
      <c r="M84" s="208"/>
      <c r="N84" s="70" t="s">
        <v>165</v>
      </c>
      <c r="O84" s="70" t="s">
        <v>300</v>
      </c>
      <c r="P84" s="71"/>
      <c r="Q84" s="72">
        <v>9.6999999999999993</v>
      </c>
      <c r="R84" s="69"/>
      <c r="S84" s="256">
        <f>IF((LOAA&gt;LOA),0.025*LOAA,0.025*LOA)</f>
        <v>0.24249999999999999</v>
      </c>
      <c r="T84" s="73"/>
      <c r="U84" s="73"/>
      <c r="V84" s="258">
        <f>IF((_xlfn.SINGLE(LOAA)&gt;_xlfn.SINGLE(LOA)),_xlfn.SINGLE(LOAA),_xlfn.SINGLE(LOA)-_xlfn.SINGLE(FOC)-_xlfn.SINGLE(AOC))</f>
        <v>9.6999999999999993</v>
      </c>
      <c r="W84" s="259">
        <f>IF(RL&gt;0,IF(RL&gt;'Look Ups'!Y$7,'Look Ups'!Y$8,('Look Ups'!Y$3*RL^3+'Look Ups'!Y$4*RL^2+'Look Ups'!Y$5*RL+'Look Ups'!Y$6)),0)</f>
        <v>0.298042209</v>
      </c>
      <c r="X84" s="74">
        <v>785</v>
      </c>
      <c r="Y84" s="262">
        <f ca="1">IF(WDATE&lt;(TODAY()-'Look Ups'!$D$4*365),-WM*'Look Ups'!$D$5/100,0)</f>
        <v>0</v>
      </c>
      <c r="Z84" s="75"/>
      <c r="AA84" s="230"/>
      <c r="AB84" s="75"/>
      <c r="AC84" s="265">
        <f>WCD+NC*'Look Ups'!$AF$3</f>
        <v>0</v>
      </c>
      <c r="AD84" s="265">
        <f ca="1">IF(RL&lt;'Look Ups'!AM$3,'Look Ups'!AM$4,IF(RL&gt;'Look Ups'!AM$5,'Look Ups'!AM$6,(RL-'Look Ups'!AM$3)/('Look Ups'!AM$5-'Look Ups'!AM$3)*('Look Ups'!AM$6-'Look Ups'!AM$4)+'Look Ups'!AM$4))/100*WS</f>
        <v>149.8636363636364</v>
      </c>
      <c r="AE84" s="266">
        <f ca="1">WM+WP+WE</f>
        <v>785</v>
      </c>
      <c r="AF84" s="267">
        <f ca="1">_xlfn.SINGLE(WS)+IF(_xlfn.SINGLE(TCW)&gt;=_xlfn.SINGLE(CWA),_xlfn.SINGLE(CWA),_xlfn.SINGLE(TCW))</f>
        <v>785</v>
      </c>
      <c r="AG84" s="76" t="s">
        <v>145</v>
      </c>
      <c r="AH84" s="77" t="s">
        <v>146</v>
      </c>
      <c r="AI84" s="78" t="s">
        <v>147</v>
      </c>
      <c r="AJ84" s="217"/>
      <c r="AK84" s="273">
        <f>IF(C84="",0,VLOOKUP(AG84,'Look Ups'!$F$3:$G$6,2,0)*VLOOKUP(AH84,'Look Ups'!$I$3:$J$5,2,0)*VLOOKUP(AI84,'Look Ups'!$L$3:$M$7,2,0)*IF(AJ84="",1,VLOOKUP(AJ84,'Look Ups'!$O$3:$P$4,2,0)))</f>
        <v>1</v>
      </c>
      <c r="AL84" s="79">
        <v>15.44</v>
      </c>
      <c r="AM84" s="73">
        <v>15.29</v>
      </c>
      <c r="AN84" s="73">
        <v>3.72</v>
      </c>
      <c r="AO84" s="73">
        <v>1.77</v>
      </c>
      <c r="AP84" s="73">
        <v>0.21</v>
      </c>
      <c r="AQ84" s="73">
        <v>16.100000000000001</v>
      </c>
      <c r="AR84" s="73">
        <v>0.12</v>
      </c>
      <c r="AS84" s="73">
        <v>3.72</v>
      </c>
      <c r="AT84" s="73">
        <v>0</v>
      </c>
      <c r="AU84" s="73">
        <v>0.57999999999999996</v>
      </c>
      <c r="AV84" s="73" t="s">
        <v>148</v>
      </c>
      <c r="AW84" s="80"/>
      <c r="AX84" s="256">
        <f>P+ER</f>
        <v>16.100000000000001</v>
      </c>
      <c r="AY84" s="256">
        <f>P*0.375*MC</f>
        <v>3.5017499999999999</v>
      </c>
      <c r="AZ84" s="275">
        <f>IF(C84="",0,(0.5*(_ML1*LPM)+0.5*(_ML1*HB)+0.66*(P*PR)+0.66*(_ML2*RDM)+0.66*(E*ER))*VLOOKUP(BATT,'Look Ups'!$U$3:$V$4,2,0))</f>
        <v>45.777114000000005</v>
      </c>
      <c r="BA84" s="81"/>
      <c r="BB84" s="82"/>
      <c r="BC84" s="79"/>
      <c r="BD84" s="73"/>
      <c r="BE84" s="73"/>
      <c r="BF84" s="73"/>
      <c r="BG84" s="73"/>
      <c r="BH84" s="73"/>
      <c r="BI84" s="73"/>
      <c r="BJ84" s="73"/>
      <c r="BK84" s="73"/>
      <c r="BL84" s="80"/>
      <c r="BM84" s="275">
        <f>(0.5*LL*LPG)+(0.5*_LG1*HG)+(0.66*LL*LLRG)+(0.66*FG*FRG)+(IF((HG&gt;0),(0.66*_LG2*LRG),(0.66*_LG1*LRG)))</f>
        <v>0</v>
      </c>
      <c r="BN84" s="282"/>
      <c r="BO84" s="283"/>
      <c r="BP84" s="284"/>
      <c r="BQ84" s="284"/>
      <c r="BR84" s="283"/>
      <c r="BS84" s="284"/>
      <c r="BT84" s="284"/>
      <c r="BU84" s="280">
        <f>(0.5*LLS*LPS)+(0.66*LLS*LLRS)+(0.66*LS*LRS)+(0.66*FS*FRS)</f>
        <v>0</v>
      </c>
      <c r="BV84" s="281"/>
      <c r="BW84" s="278"/>
      <c r="BX84" s="278"/>
      <c r="BY84" s="278"/>
      <c r="BZ84" s="278"/>
      <c r="CA84" s="278"/>
      <c r="CB84" s="278"/>
      <c r="CC84" s="275">
        <f>(0.5*LLD*LPD)+(0.66*LLD*LLRD)+(0.66*LCHD*LRD)+(0.66*FD*FRD)</f>
        <v>0</v>
      </c>
      <c r="CD84" s="81"/>
      <c r="CE84" s="73"/>
      <c r="CF84" s="73"/>
      <c r="CG84" s="73"/>
      <c r="CH84" s="266" t="str">
        <f>IF(SF&gt;0,SMG/SF*100,"")</f>
        <v/>
      </c>
      <c r="CI84" s="283"/>
      <c r="CJ84" s="280">
        <f>SF*(_SL1+_SL2)/4+(SMG-SF/2)*(_SL1+_SL2)/3</f>
        <v>0</v>
      </c>
      <c r="CK84" s="79">
        <v>8.35</v>
      </c>
      <c r="CL84" s="73">
        <v>15.17</v>
      </c>
      <c r="CM84" s="73">
        <v>13.97</v>
      </c>
      <c r="CN84" s="73">
        <v>4.18</v>
      </c>
      <c r="CO84" s="256">
        <f>IF(SCRF&gt;0,SCRMG/SCRF*100,"")</f>
        <v>50.059880239520957</v>
      </c>
      <c r="CP84" s="283"/>
      <c r="CQ84" s="256">
        <f>SCRF*(SCRL1+SCRL2)/4+(SCRMG-SCRF/2)*(SCRL1+SCRL2)/3</f>
        <v>60.878316666666663</v>
      </c>
      <c r="CR84" s="256" t="str">
        <f>IF(CO84&lt;'Look Ups'!$AC$4,"Yes","No")</f>
        <v>Yes</v>
      </c>
      <c r="CS84" s="267">
        <f>IF(CR84="Yes",MIN(150,('Look Ups'!$AC$4-PSCR)/('Look Ups'!$AC$4-'Look Ups'!$AC$3)*100),0)</f>
        <v>38.802395209580851</v>
      </c>
      <c r="CT84" s="79"/>
      <c r="CU84" s="73"/>
      <c r="CV84" s="73"/>
      <c r="CW84" s="73"/>
      <c r="CX84" s="256" t="str">
        <f>IF(USCRF&gt;0,USCRMG/USCRF*100,"")</f>
        <v/>
      </c>
      <c r="CY84" s="293">
        <f>IF(PUSCR&lt;'Look Ups'!$AC$4,MIN(150,('Look Ups'!$AC$4-PUSCR)/('Look Ups'!$AC$4-'Look Ups'!$AC$3)*100),0)</f>
        <v>0</v>
      </c>
      <c r="CZ84" s="275">
        <f>IF(PUSCR&lt;'Look Ups'!$AC$4,USCRF*(USCRL1+USCRL2)/4+(USCRMG-USCRF/2)*(USCRL1+USCRL2)/3,0)</f>
        <v>0</v>
      </c>
      <c r="DA84" s="294">
        <f>IF(ZVAL=1,1,IF(LPM&gt;0,0.64*((AM+MAM)/(E+(MC/2))^2)^0.3,0))</f>
        <v>1</v>
      </c>
      <c r="DB84" s="256">
        <f>0.65*((AM+MAM)*EFM)+0.35*((AM+MAM)*ZVAL)</f>
        <v>49.278864000000013</v>
      </c>
      <c r="DC84" s="256">
        <f>IF(ZVAL=1,1,IF(LPG&gt;0,0.72*(AG/(LPG^2))^0.3,0))</f>
        <v>1</v>
      </c>
      <c r="DD84" s="256">
        <f>AG*EFG</f>
        <v>0</v>
      </c>
      <c r="DE84" s="256">
        <f>IF(AZ84&gt;0,'Look Ups'!$S$3,0)</f>
        <v>1</v>
      </c>
      <c r="DF84" s="256">
        <f>IF(LPS&gt;0,0.72*(AS/(LPS^2))^0.3,0)</f>
        <v>0</v>
      </c>
      <c r="DG84" s="256">
        <f>EFS*AS</f>
        <v>0</v>
      </c>
      <c r="DH84" s="256">
        <f>IF(LPD&gt;0,0.72*(AD/(LPD^2))^0.3,0)</f>
        <v>0</v>
      </c>
      <c r="DI84" s="280">
        <f>IF((AD-AG)&gt;0,0.3*(AD-AG)*EFD,0)</f>
        <v>0</v>
      </c>
      <c r="DJ84" s="295" t="str">
        <f>IF((SCRF=0),"-",IF(AND(MSASC&gt;AG,SCRMG&lt;(0.75*SCRF)),"valid","ERROR"))</f>
        <v>valid</v>
      </c>
      <c r="DK84" s="266" t="str">
        <f>IF((SF=0),"-",IF((SMG&lt;(0.75*SF)),"ERROR",IF(AND(MSASP&gt;MSASC,MSASP&gt;AG,MSASP&gt;=0.36*RSAM),"valid","Small")))</f>
        <v>-</v>
      </c>
      <c r="DL84" s="267" t="str">
        <f>IF(C84="","",CONCATENATE("MG",IF(FLSCR="valid","Scr",""),IF(FLSPI="valid","SP","")))</f>
        <v>MGScr</v>
      </c>
      <c r="DM84" s="294">
        <f>RSAM+RSAG</f>
        <v>49.278864000000013</v>
      </c>
      <c r="DN84" s="256">
        <f>IF(MSASP&gt;0,'Look Ups'!$AI$4*(ZVAL*MSASP-RSAG),0)</f>
        <v>0</v>
      </c>
      <c r="DO84" s="256">
        <f>IF(AND(MSASC&gt;0,(MSASC&gt;=0.36*RSAM)),('Look Ups'!$AI$3*(ZVAL*MSASC-RSAG)),(0))</f>
        <v>21.307410833333332</v>
      </c>
      <c r="DP84" s="256">
        <f>IF(MSASP&gt;0,'Look Ups'!$AI$5*(ZVAL*MSASP-RSAG),0)</f>
        <v>0</v>
      </c>
      <c r="DQ84" s="256">
        <f>IF(MSASC&gt;0,'Look Ups'!$AI$6*(MSASC-RSAG),0)</f>
        <v>4.2614821666666671</v>
      </c>
      <c r="DR84" s="280">
        <f>'Look Ups'!$AI$7*MAX(IF(MSAUSC&gt;0,EUSC/100*(MSAUSC-RSAG),0),IF(CR84="Yes",ELSC/100*(MSASC-RSAG),0))</f>
        <v>5.905561257485032</v>
      </c>
      <c r="DS84" s="280">
        <f>0.36*RSAM</f>
        <v>17.740391040000002</v>
      </c>
      <c r="DT84" s="296">
        <f>_xlfn.IFS(SPC="MG",RAMG+DS84,SPC="MGScr",RAMG+RASCO,SPC="MGSp",RAMG+RASPO,SPC="MGScrSp",RAMG+RASPSC+RASCR)+RAUSC+RSAST+RSAD+RSAMZ+RSA2M</f>
        <v>76.491836090818381</v>
      </c>
      <c r="DU84" s="63"/>
    </row>
    <row r="85" spans="1:125" ht="15.6" customHeight="1" x14ac:dyDescent="0.3">
      <c r="A85" s="4"/>
      <c r="B85" s="64"/>
      <c r="C85" s="64" t="s">
        <v>379</v>
      </c>
      <c r="D85" s="85" t="s">
        <v>279</v>
      </c>
      <c r="E85" s="86" t="s">
        <v>380</v>
      </c>
      <c r="F85" s="252">
        <f ca="1">IF(RW=0,0,ROUND(DLF*0.93*RL^LF*RSA^0.4/RW^0.325,3))</f>
        <v>1.0029999999999999</v>
      </c>
      <c r="G85" s="252" t="str">
        <f ca="1">IF(OR(FLSCR="ERROR",FLSPI="ERROR"),"No",IF(TODAY()-'Look Ups'!$D$4*365&gt;I85,"WP Applied","Yes"))</f>
        <v>Yes</v>
      </c>
      <c r="H85" s="253" t="str">
        <f>IF(SPC="","",CONCATENATE("Main-Genoa",IF(FLSCR="valid",IF(OR(CR85="Yes",MSAUSC&gt;0),"-Screacher (Upwind)","-Screacher"),""),IF(FLSPI="valid","-Spinnaker",""),IF(RSAMZ&gt;0,"-Mizzen",""),IF(RSA2M&gt;0,"-Second Main",""),IF(AS&gt;0,"-Staysail",""),IF(AD&gt;0,"-Drifter","")))</f>
        <v>Main-Genoa-Screacher (Upwind)-Spinnaker</v>
      </c>
      <c r="I85" s="1">
        <v>42672</v>
      </c>
      <c r="J85" s="1">
        <v>42677</v>
      </c>
      <c r="K85" s="87" t="s">
        <v>141</v>
      </c>
      <c r="L85" s="87" t="s">
        <v>142</v>
      </c>
      <c r="M85" s="207"/>
      <c r="N85" s="97" t="s">
        <v>143</v>
      </c>
      <c r="O85" s="97" t="s">
        <v>154</v>
      </c>
      <c r="P85" s="102"/>
      <c r="Q85" s="90">
        <v>8.57</v>
      </c>
      <c r="R85" s="87"/>
      <c r="S85" s="256">
        <f>IF((LOAA&gt;LOA),0.025*LOAA,0.025*LOA)</f>
        <v>0.21425000000000002</v>
      </c>
      <c r="T85" s="91"/>
      <c r="U85" s="91"/>
      <c r="V85" s="258">
        <f>IF((_xlfn.SINGLE(LOAA)&gt;_xlfn.SINGLE(LOA)),_xlfn.SINGLE(LOAA),_xlfn.SINGLE(LOA)-_xlfn.SINGLE(FOC)-_xlfn.SINGLE(AOC))</f>
        <v>8.57</v>
      </c>
      <c r="W85" s="259">
        <f>IF(RL&gt;0,IF(RL&gt;'Look Ups'!Y$7,'Look Ups'!Y$8,('Look Ups'!Y$3*RL^3+'Look Ups'!Y$4*RL^2+'Look Ups'!Y$5*RL+'Look Ups'!Y$6)),0)</f>
        <v>0.29556309216900001</v>
      </c>
      <c r="X85" s="92">
        <v>980</v>
      </c>
      <c r="Y85" s="262">
        <f ca="1">IF(WDATE&lt;(TODAY()-'Look Ups'!$D$4*365),-WM*'Look Ups'!$D$5/100,0)</f>
        <v>0</v>
      </c>
      <c r="Z85" s="93"/>
      <c r="AA85" s="93"/>
      <c r="AB85" s="75"/>
      <c r="AC85" s="265">
        <f>WCD+NC*'Look Ups'!$AF$3</f>
        <v>0</v>
      </c>
      <c r="AD85" s="265">
        <f ca="1">IF(RL&lt;'Look Ups'!AM$3,'Look Ups'!AM$4,IF(RL&gt;'Look Ups'!AM$5,'Look Ups'!AM$6,(RL-'Look Ups'!AM$3)/('Look Ups'!AM$5-'Look Ups'!AM$3)*('Look Ups'!AM$6-'Look Ups'!AM$4)+'Look Ups'!AM$4))/100*WS</f>
        <v>227.35999999999999</v>
      </c>
      <c r="AE85" s="266">
        <f ca="1">WM+WP+WE</f>
        <v>980</v>
      </c>
      <c r="AF85" s="267">
        <f ca="1">_xlfn.SINGLE(WS)+IF(_xlfn.SINGLE(TCW)&gt;=_xlfn.SINGLE(CWA),_xlfn.SINGLE(CWA),_xlfn.SINGLE(TCW))</f>
        <v>980</v>
      </c>
      <c r="AG85" s="94" t="s">
        <v>145</v>
      </c>
      <c r="AH85" s="95" t="s">
        <v>146</v>
      </c>
      <c r="AI85" s="96" t="s">
        <v>147</v>
      </c>
      <c r="AJ85" s="218"/>
      <c r="AK85" s="273">
        <f>IF(C85="",0,VLOOKUP(AG85,'Look Ups'!$F$3:$G$6,2,0)*VLOOKUP(AH85,'Look Ups'!$I$3:$J$5,2,0)*VLOOKUP(AI85,'Look Ups'!$L$3:$M$7,2,0)*IF(AJ85="",1,VLOOKUP(AJ85,'Look Ups'!$O$3:$P$4,2,0)))</f>
        <v>1</v>
      </c>
      <c r="AL85" s="83">
        <v>11.6</v>
      </c>
      <c r="AM85" s="91">
        <v>11.7</v>
      </c>
      <c r="AN85" s="91">
        <v>3.05</v>
      </c>
      <c r="AO85" s="91">
        <v>1.67</v>
      </c>
      <c r="AP85" s="91">
        <v>0.2</v>
      </c>
      <c r="AQ85" s="91">
        <v>11.65</v>
      </c>
      <c r="AR85" s="91">
        <v>0.04</v>
      </c>
      <c r="AS85" s="91">
        <v>3.12</v>
      </c>
      <c r="AT85" s="91">
        <v>0.04</v>
      </c>
      <c r="AU85" s="91">
        <v>0.53</v>
      </c>
      <c r="AV85" s="91" t="s">
        <v>148</v>
      </c>
      <c r="AW85" s="97"/>
      <c r="AX85" s="256">
        <f>P+ER</f>
        <v>11.69</v>
      </c>
      <c r="AY85" s="256">
        <f>P*0.375*MC</f>
        <v>2.3154375000000003</v>
      </c>
      <c r="AZ85" s="275">
        <f>IF(C85="",0,(0.5*(_ML1*LPM)+0.5*(_ML1*HB)+0.66*(P*PR)+0.66*(_ML2*RDM)+0.66*(E*ER))*VLOOKUP(BATT,'Look Ups'!$U$3:$V$4,2,0))</f>
        <v>29.310327999999995</v>
      </c>
      <c r="BA85" s="98"/>
      <c r="BB85" s="99"/>
      <c r="BC85" s="83">
        <v>8.89</v>
      </c>
      <c r="BD85" s="91">
        <v>2.87</v>
      </c>
      <c r="BE85" s="91">
        <v>3.27</v>
      </c>
      <c r="BF85" s="91">
        <v>0.13</v>
      </c>
      <c r="BG85" s="91">
        <v>7.88</v>
      </c>
      <c r="BH85" s="91">
        <v>7.89</v>
      </c>
      <c r="BI85" s="91">
        <v>0.45</v>
      </c>
      <c r="BJ85" s="91"/>
      <c r="BK85" s="91"/>
      <c r="BL85" s="97"/>
      <c r="BM85" s="275">
        <f>(0.5*LL*LPG)+(0.5*_LG1*HG)+(0.66*LL*LLRG)+(0.66*FG*FRG)+(IF((HG&gt;0),(0.66*_LG2*LRG),(0.66*_LG1*LRG)))</f>
        <v>14.810716000000001</v>
      </c>
      <c r="BN85" s="282"/>
      <c r="BO85" s="283"/>
      <c r="BP85" s="284"/>
      <c r="BQ85" s="284"/>
      <c r="BR85" s="283"/>
      <c r="BS85" s="284"/>
      <c r="BT85" s="284"/>
      <c r="BU85" s="280">
        <f>(0.5*LLS*LPS)+(0.66*LLS*LLRS)+(0.66*LS*LRS)+(0.66*FS*FRS)</f>
        <v>0</v>
      </c>
      <c r="BV85" s="285"/>
      <c r="BW85" s="283"/>
      <c r="BX85" s="283"/>
      <c r="BY85" s="283"/>
      <c r="BZ85" s="283"/>
      <c r="CA85" s="283"/>
      <c r="CB85" s="283"/>
      <c r="CC85" s="275">
        <f>(0.5*LLD*LPD)+(0.66*LLD*LLRD)+(0.66*LCHD*LRD)+(0.66*FD*FRD)</f>
        <v>0</v>
      </c>
      <c r="CD85" s="98">
        <v>7.3</v>
      </c>
      <c r="CE85" s="91">
        <v>14.13</v>
      </c>
      <c r="CF85" s="91">
        <v>12.68</v>
      </c>
      <c r="CG85" s="91">
        <v>6.95</v>
      </c>
      <c r="CH85" s="266">
        <f>IF(SF&gt;0,SMG/SF*100,"")</f>
        <v>95.205479452054803</v>
      </c>
      <c r="CI85" s="283"/>
      <c r="CJ85" s="280">
        <f>SF*(_SL1+_SL2)/4+(SMG-SF/2)*(_SL1+_SL2)/3</f>
        <v>78.419250000000005</v>
      </c>
      <c r="CK85" s="83">
        <v>6.97</v>
      </c>
      <c r="CL85" s="91">
        <v>12.36</v>
      </c>
      <c r="CM85" s="91">
        <v>10.81</v>
      </c>
      <c r="CN85" s="91">
        <v>3.6</v>
      </c>
      <c r="CO85" s="256">
        <f>IF(SCRF&gt;0,SCRMG/SCRF*100,"")</f>
        <v>51.649928263988521</v>
      </c>
      <c r="CP85" s="286"/>
      <c r="CQ85" s="256">
        <f>SCRF*(SCRL1+SCRL2)/4+(SCRMG-SCRF/2)*(SCRL1+SCRL2)/3</f>
        <v>41.261908333333338</v>
      </c>
      <c r="CR85" s="256" t="str">
        <f>IF(CO85&lt;'Look Ups'!$AC$4,"Yes","No")</f>
        <v>Yes</v>
      </c>
      <c r="CS85" s="267">
        <f>IF(CR85="Yes",MIN(150,('Look Ups'!$AC$4-PSCR)/('Look Ups'!$AC$4-'Look Ups'!$AC$3)*100),0)</f>
        <v>7.0014347202295824</v>
      </c>
      <c r="CT85" s="83"/>
      <c r="CU85" s="91"/>
      <c r="CV85" s="91"/>
      <c r="CW85" s="91"/>
      <c r="CX85" s="256" t="str">
        <f>IF(USCRF&gt;0,USCRMG/USCRF*100,"")</f>
        <v/>
      </c>
      <c r="CY85" s="293">
        <f>IF(PUSCR&lt;'Look Ups'!$AC$4,MIN(150,('Look Ups'!$AC$4-PUSCR)/('Look Ups'!$AC$4-'Look Ups'!$AC$3)*100),0)</f>
        <v>0</v>
      </c>
      <c r="CZ85" s="275">
        <f>IF(PUSCR&lt;'Look Ups'!$AC$4,USCRF*(USCRL1+USCRL2)/4+(USCRMG-USCRF/2)*(USCRL1+USCRL2)/3,0)</f>
        <v>0</v>
      </c>
      <c r="DA85" s="294">
        <f>IF(ZVAL=1,1,IF(LPM&gt;0,0.64*((AM+MAM)/(E+(MC/2))^2)^0.3,0))</f>
        <v>1</v>
      </c>
      <c r="DB85" s="256">
        <f>0.65*((AM+MAM)*EFM)+0.35*((AM+MAM)*ZVAL)</f>
        <v>31.6257655</v>
      </c>
      <c r="DC85" s="256">
        <f>IF(ZVAL=1,1,IF(LPG&gt;0,0.72*(AG/(LPG^2))^0.3,0))</f>
        <v>1</v>
      </c>
      <c r="DD85" s="256">
        <f>AG*EFG</f>
        <v>14.810716000000001</v>
      </c>
      <c r="DE85" s="256">
        <f>IF(AZ85&gt;0,'Look Ups'!$S$3,0)</f>
        <v>1</v>
      </c>
      <c r="DF85" s="256">
        <f>IF(LPS&gt;0,0.72*(AS/(LPS^2))^0.3,0)</f>
        <v>0</v>
      </c>
      <c r="DG85" s="256">
        <f>EFS*AS</f>
        <v>0</v>
      </c>
      <c r="DH85" s="256">
        <f>IF(LPD&gt;0,0.72*(AD/(LPD^2))^0.3,0)</f>
        <v>0</v>
      </c>
      <c r="DI85" s="280">
        <f>IF((AD-AG)&gt;0,0.3*(AD-AG)*EFD,0)</f>
        <v>0</v>
      </c>
      <c r="DJ85" s="295" t="str">
        <f>IF((SCRF=0),"-",IF(AND(MSASC&gt;AG,SCRMG&lt;(0.75*SCRF)),"valid","ERROR"))</f>
        <v>valid</v>
      </c>
      <c r="DK85" s="266" t="str">
        <f>IF((SF=0),"-",IF((SMG&lt;(0.75*SF)),"ERROR",IF(AND(MSASP&gt;MSASC,MSASP&gt;AG,MSASP&gt;=0.36*RSAM),"valid","Small")))</f>
        <v>valid</v>
      </c>
      <c r="DL85" s="267" t="str">
        <f>IF(C85="","",CONCATENATE("MG",IF(FLSCR="valid","Scr",""),IF(FLSPI="valid","SP","")))</f>
        <v>MGScrSP</v>
      </c>
      <c r="DM85" s="294">
        <f>RSAM+RSAG</f>
        <v>46.436481499999999</v>
      </c>
      <c r="DN85" s="256">
        <f>IF(MSASP&gt;0,'Look Ups'!$AI$4*(ZVAL*MSASP-RSAG),0)</f>
        <v>19.0825602</v>
      </c>
      <c r="DO85" s="256">
        <f>IF(AND(MSASC&gt;0,(MSASC&gt;=0.36*RSAM)),('Look Ups'!$AI$3*(ZVAL*MSASC-RSAG)),(0))</f>
        <v>9.2579173166666671</v>
      </c>
      <c r="DP85" s="256">
        <f>IF(MSASP&gt;0,'Look Ups'!$AI$5*(ZVAL*MSASP-RSAG),0)</f>
        <v>17.810389520000005</v>
      </c>
      <c r="DQ85" s="256">
        <f>IF(MSASC&gt;0,'Look Ups'!$AI$6*(MSASC-RSAG),0)</f>
        <v>1.8515834633333339</v>
      </c>
      <c r="DR85" s="280">
        <f>'Look Ups'!$AI$7*MAX(IF(MSAUSC&gt;0,EUSC/100*(MSAUSC-RSAG),0),IF(CR85="Yes",ELSC/100*(MSASC-RSAG),0))</f>
        <v>0.46299074098517645</v>
      </c>
      <c r="DS85" s="280">
        <f>0.36*RSAM</f>
        <v>11.38527558</v>
      </c>
      <c r="DT85" s="296">
        <f>_xlfn.IFS(SPC="MG",RAMG+DS85,SPC="MGScr",RAMG+RASCO,SPC="MGSp",RAMG+RASPO,SPC="MGScrSp",RAMG+RASPSC+RASCR)+RAUSC+RSAST+RSAD+RSAMZ+RSA2M</f>
        <v>66.561445224318504</v>
      </c>
      <c r="DU85" s="63"/>
    </row>
    <row r="86" spans="1:125" ht="15.6" customHeight="1" x14ac:dyDescent="0.3">
      <c r="A86" s="4"/>
      <c r="B86" s="64"/>
      <c r="C86" s="64" t="s">
        <v>383</v>
      </c>
      <c r="D86" s="85" t="s">
        <v>277</v>
      </c>
      <c r="E86" s="86" t="s">
        <v>384</v>
      </c>
      <c r="F86" s="252">
        <f ca="1">IF(RW=0,0,ROUND(DLF*0.93*RL^LF*RSA^0.4/RW^0.325,3))</f>
        <v>0.86199999999999999</v>
      </c>
      <c r="G86" s="252" t="str">
        <f ca="1">IF(OR(FLSCR="ERROR",FLSPI="ERROR"),"No",IF(TODAY()-'Look Ups'!$D$4*365&gt;I86,"WP Applied","Yes"))</f>
        <v>Yes</v>
      </c>
      <c r="H86" s="253" t="str">
        <f>IF(SPC="","",CONCATENATE("Main-Genoa",IF(FLSCR="valid",IF(OR(CR86="Yes",MSAUSC&gt;0),"-Screacher (Upwind)","-Screacher"),""),IF(FLSPI="valid","-Spinnaker",""),IF(RSAMZ&gt;0,"-Mizzen",""),IF(RSA2M&gt;0,"-Second Main",""),IF(AS&gt;0,"-Staysail",""),IF(AD&gt;0,"-Drifter","")))</f>
        <v>Main-Genoa-Screacher (Upwind)-Spinnaker</v>
      </c>
      <c r="I86" s="1">
        <v>42293</v>
      </c>
      <c r="J86" s="1">
        <v>43140</v>
      </c>
      <c r="K86" s="87" t="s">
        <v>385</v>
      </c>
      <c r="L86" s="87" t="s">
        <v>142</v>
      </c>
      <c r="M86" s="207"/>
      <c r="N86" s="88" t="s">
        <v>143</v>
      </c>
      <c r="O86" s="88" t="s">
        <v>154</v>
      </c>
      <c r="P86" s="89"/>
      <c r="Q86" s="90">
        <v>7.09</v>
      </c>
      <c r="R86" s="87"/>
      <c r="S86" s="256">
        <f>IF((LOAA&gt;LOA),0.025*LOAA,0.025*LOA)</f>
        <v>0.17725000000000002</v>
      </c>
      <c r="T86" s="91">
        <v>0.03</v>
      </c>
      <c r="U86" s="91"/>
      <c r="V86" s="258">
        <f>IF((_xlfn.SINGLE(LOAA)&gt;_xlfn.SINGLE(LOA)),_xlfn.SINGLE(LOAA),_xlfn.SINGLE(LOA)-_xlfn.SINGLE(FOC)-_xlfn.SINGLE(AOC))</f>
        <v>7.06</v>
      </c>
      <c r="W86" s="259">
        <f>IF(RL&gt;0,IF(RL&gt;'Look Ups'!Y$7,'Look Ups'!Y$8,('Look Ups'!Y$3*RL^3+'Look Ups'!Y$4*RL^2+'Look Ups'!Y$5*RL+'Look Ups'!Y$6)),0)</f>
        <v>0.29000152192799999</v>
      </c>
      <c r="X86" s="92">
        <v>873</v>
      </c>
      <c r="Y86" s="262">
        <f ca="1">IF(WDATE&lt;(TODAY()-'Look Ups'!$D$4*365),-WM*'Look Ups'!$D$5/100,0)</f>
        <v>0</v>
      </c>
      <c r="Z86" s="93"/>
      <c r="AA86" s="93"/>
      <c r="AB86" s="75"/>
      <c r="AC86" s="265">
        <f>WCD+NC*'Look Ups'!$AF$3</f>
        <v>0</v>
      </c>
      <c r="AD86" s="265">
        <f ca="1">IF(RL&lt;'Look Ups'!AM$3,'Look Ups'!AM$4,IF(RL&gt;'Look Ups'!AM$5,'Look Ups'!AM$6,(RL-'Look Ups'!AM$3)/('Look Ups'!AM$5-'Look Ups'!AM$3)*('Look Ups'!AM$6-'Look Ups'!AM$4)+'Look Ups'!AM$4))/100*WS</f>
        <v>250.47163636363635</v>
      </c>
      <c r="AE86" s="266">
        <f ca="1">WM+WP+WE</f>
        <v>873</v>
      </c>
      <c r="AF86" s="267">
        <f ca="1">_xlfn.SINGLE(WS)+IF(_xlfn.SINGLE(TCW)&gt;=_xlfn.SINGLE(CWA),_xlfn.SINGLE(CWA),_xlfn.SINGLE(TCW))</f>
        <v>873</v>
      </c>
      <c r="AG86" s="94" t="s">
        <v>145</v>
      </c>
      <c r="AH86" s="95" t="s">
        <v>146</v>
      </c>
      <c r="AI86" s="96" t="s">
        <v>147</v>
      </c>
      <c r="AJ86" s="218"/>
      <c r="AK86" s="273">
        <f>IF(C86="",0,VLOOKUP(AG86,'Look Ups'!$F$3:$G$6,2,0)*VLOOKUP(AH86,'Look Ups'!$I$3:$J$5,2,0)*VLOOKUP(AI86,'Look Ups'!$L$3:$M$7,2,0)*IF(AJ86="",1,VLOOKUP(AJ86,'Look Ups'!$O$3:$P$4,2,0)))</f>
        <v>1</v>
      </c>
      <c r="AL86" s="83">
        <v>10.4</v>
      </c>
      <c r="AM86" s="91">
        <v>10.18</v>
      </c>
      <c r="AN86" s="91">
        <v>2.82</v>
      </c>
      <c r="AO86" s="91">
        <v>0.74</v>
      </c>
      <c r="AP86" s="91">
        <v>0.75</v>
      </c>
      <c r="AQ86" s="91">
        <v>10.11</v>
      </c>
      <c r="AR86" s="91">
        <v>0.03</v>
      </c>
      <c r="AS86" s="91">
        <v>2.92</v>
      </c>
      <c r="AT86" s="91">
        <v>0.05</v>
      </c>
      <c r="AU86" s="91">
        <v>0.52</v>
      </c>
      <c r="AV86" s="91" t="s">
        <v>148</v>
      </c>
      <c r="AW86" s="97"/>
      <c r="AX86" s="256">
        <f>P+ER</f>
        <v>10.16</v>
      </c>
      <c r="AY86" s="256">
        <f>P*0.375*MC</f>
        <v>1.9714499999999999</v>
      </c>
      <c r="AZ86" s="275">
        <f>IF(C86="",0,(0.5*(_ML1*LPM)+0.5*(_ML1*HB)+0.66*(P*PR)+0.66*(_ML2*RDM)+0.66*(E*ER))*VLOOKUP(BATT,'Look Ups'!$U$3:$V$4,2,0))</f>
        <v>23.847638000000003</v>
      </c>
      <c r="BA86" s="98"/>
      <c r="BB86" s="99"/>
      <c r="BC86" s="83">
        <v>8.5299999999999994</v>
      </c>
      <c r="BD86" s="91">
        <v>2.456</v>
      </c>
      <c r="BE86" s="91">
        <v>2.88</v>
      </c>
      <c r="BF86" s="91">
        <v>7.0000000000000007E-2</v>
      </c>
      <c r="BG86" s="91">
        <v>7.52</v>
      </c>
      <c r="BH86" s="91"/>
      <c r="BI86" s="91"/>
      <c r="BJ86" s="91">
        <v>-0.14000000000000001</v>
      </c>
      <c r="BK86" s="91">
        <v>0</v>
      </c>
      <c r="BL86" s="97"/>
      <c r="BM86" s="275">
        <f>(0.5*LL*LPG)+(0.5*_LG1*HG)+(0.66*LL*LLRG)+(0.66*FG*FRG)+(IF((HG&gt;0),(0.66*_LG2*LRG),(0.66*_LG1*LRG)))</f>
        <v>9.9130479999999981</v>
      </c>
      <c r="BN86" s="282"/>
      <c r="BO86" s="283"/>
      <c r="BP86" s="284"/>
      <c r="BQ86" s="284"/>
      <c r="BR86" s="283"/>
      <c r="BS86" s="284"/>
      <c r="BT86" s="284"/>
      <c r="BU86" s="280">
        <f>(0.5*LLS*LPS)+(0.66*LLS*LLRS)+(0.66*LS*LRS)+(0.66*FS*FRS)</f>
        <v>0</v>
      </c>
      <c r="BV86" s="285"/>
      <c r="BW86" s="283"/>
      <c r="BX86" s="283"/>
      <c r="BY86" s="283"/>
      <c r="BZ86" s="283"/>
      <c r="CA86" s="283"/>
      <c r="CB86" s="283"/>
      <c r="CC86" s="275">
        <f>(0.5*LLD*LPD)+(0.66*LLD*LLRD)+(0.66*LCHD*LRD)+(0.66*FD*FRD)</f>
        <v>0</v>
      </c>
      <c r="CD86" s="98">
        <v>6.35</v>
      </c>
      <c r="CE86" s="91">
        <v>12</v>
      </c>
      <c r="CF86" s="91">
        <v>10.52</v>
      </c>
      <c r="CG86" s="91">
        <v>5.43</v>
      </c>
      <c r="CH86" s="266">
        <f>IF(SF&gt;0,SMG/SF*100,"")</f>
        <v>85.511811023622059</v>
      </c>
      <c r="CI86" s="283"/>
      <c r="CJ86" s="280">
        <f>SF*(_SL1+_SL2)/4+(SMG-SF/2)*(_SL1+_SL2)/3</f>
        <v>52.678033333333332</v>
      </c>
      <c r="CK86" s="83">
        <v>5.6950000000000003</v>
      </c>
      <c r="CL86" s="91">
        <v>10.27</v>
      </c>
      <c r="CM86" s="91">
        <v>9.07</v>
      </c>
      <c r="CN86" s="91">
        <v>2.9450000000000003</v>
      </c>
      <c r="CO86" s="256">
        <f>IF(SCRF&gt;0,SCRMG/SCRF*100,"")</f>
        <v>51.71202809482002</v>
      </c>
      <c r="CP86" s="283"/>
      <c r="CQ86" s="256">
        <f>SCRF*(SCRL1+SCRL2)/4+(SCRMG-SCRF/2)*(SCRL1+SCRL2)/3</f>
        <v>28.163875000000001</v>
      </c>
      <c r="CR86" s="256" t="str">
        <f>IF(CO86&lt;'Look Ups'!$AC$4,"Yes","No")</f>
        <v>Yes</v>
      </c>
      <c r="CS86" s="267">
        <f>IF(CR86="Yes",MIN(150,('Look Ups'!$AC$4-PSCR)/('Look Ups'!$AC$4-'Look Ups'!$AC$3)*100),0)</f>
        <v>5.7594381035995923</v>
      </c>
      <c r="CT86" s="83"/>
      <c r="CU86" s="91"/>
      <c r="CV86" s="91"/>
      <c r="CW86" s="91"/>
      <c r="CX86" s="256" t="str">
        <f>IF(USCRF&gt;0,USCRMG/USCRF*100,"")</f>
        <v/>
      </c>
      <c r="CY86" s="293">
        <f>IF(PUSCR&lt;'Look Ups'!$AC$4,MIN(150,('Look Ups'!$AC$4-PUSCR)/('Look Ups'!$AC$4-'Look Ups'!$AC$3)*100),0)</f>
        <v>0</v>
      </c>
      <c r="CZ86" s="275">
        <f>IF(PUSCR&lt;'Look Ups'!$AC$4,USCRF*(USCRL1+USCRL2)/4+(USCRMG-USCRF/2)*(USCRL1+USCRL2)/3,0)</f>
        <v>0</v>
      </c>
      <c r="DA86" s="294">
        <f>IF(ZVAL=1,1,IF(LPM&gt;0,0.64*((AM+MAM)/(E+(MC/2))^2)^0.3,0))</f>
        <v>1</v>
      </c>
      <c r="DB86" s="256">
        <f>0.65*((AM+MAM)*EFM)+0.35*((AM+MAM)*ZVAL)</f>
        <v>25.819088000000008</v>
      </c>
      <c r="DC86" s="256">
        <f>IF(ZVAL=1,1,IF(LPG&gt;0,0.72*(AG/(LPG^2))^0.3,0))</f>
        <v>1</v>
      </c>
      <c r="DD86" s="256">
        <f>AG*EFG</f>
        <v>9.9130479999999981</v>
      </c>
      <c r="DE86" s="256">
        <f>IF(AZ86&gt;0,'Look Ups'!$S$3,0)</f>
        <v>1</v>
      </c>
      <c r="DF86" s="256">
        <f>IF(LPS&gt;0,0.72*(AS/(LPS^2))^0.3,0)</f>
        <v>0</v>
      </c>
      <c r="DG86" s="256">
        <f>EFS*AS</f>
        <v>0</v>
      </c>
      <c r="DH86" s="256">
        <f>IF(LPD&gt;0,0.72*(AD/(LPD^2))^0.3,0)</f>
        <v>0</v>
      </c>
      <c r="DI86" s="280">
        <f>IF((AD-AG)&gt;0,0.3*(AD-AG)*EFD,0)</f>
        <v>0</v>
      </c>
      <c r="DJ86" s="295" t="str">
        <f>IF((SCRF=0),"-",IF(AND(MSASC&gt;AG,SCRMG&lt;(0.75*SCRF)),"valid","ERROR"))</f>
        <v>valid</v>
      </c>
      <c r="DK86" s="266" t="str">
        <f>IF((SF=0),"-",IF((SMG&lt;(0.75*SF)),"ERROR",IF(AND(MSASP&gt;MSASC,MSASP&gt;AG,MSASP&gt;=0.36*RSAM),"valid","Small")))</f>
        <v>valid</v>
      </c>
      <c r="DL86" s="267" t="str">
        <f>IF(C86="","",CONCATENATE("MG",IF(FLSCR="valid","Scr",""),IF(FLSPI="valid","SP","")))</f>
        <v>MGScrSP</v>
      </c>
      <c r="DM86" s="294">
        <f>RSAM+RSAG</f>
        <v>35.732136000000004</v>
      </c>
      <c r="DN86" s="256">
        <f>IF(MSASP&gt;0,'Look Ups'!$AI$4*(ZVAL*MSASP-RSAG),0)</f>
        <v>12.8294956</v>
      </c>
      <c r="DO86" s="256">
        <f>IF(AND(MSASC&gt;0,(MSASC&gt;=0.36*RSAM)),('Look Ups'!$AI$3*(ZVAL*MSASC-RSAG)),(0))</f>
        <v>6.3877894499999996</v>
      </c>
      <c r="DP86" s="256">
        <f>IF(MSASP&gt;0,'Look Ups'!$AI$5*(ZVAL*MSASP-RSAG),0)</f>
        <v>11.974195893333334</v>
      </c>
      <c r="DQ86" s="256">
        <f>IF(MSASC&gt;0,'Look Ups'!$AI$6*(MSASC-RSAG),0)</f>
        <v>1.2775578900000002</v>
      </c>
      <c r="DR86" s="280">
        <f>'Look Ups'!$AI$7*MAX(IF(MSAUSC&gt;0,EUSC/100*(MSAUSC-RSAG),0),IF(CR86="Yes",ELSC/100*(MSASC-RSAG),0))</f>
        <v>0.26278627111501057</v>
      </c>
      <c r="DS86" s="280">
        <f>0.36*RSAM</f>
        <v>9.2948716800000017</v>
      </c>
      <c r="DT86" s="296">
        <f>_xlfn.IFS(SPC="MG",RAMG+DS86,SPC="MGScr",RAMG+RASCO,SPC="MGSp",RAMG+RASPO,SPC="MGScrSp",RAMG+RASPSC+RASCR)+RAUSC+RSAST+RSAD+RSAMZ+RSA2M</f>
        <v>49.246676054448351</v>
      </c>
      <c r="DU86" s="63"/>
    </row>
    <row r="87" spans="1:125" ht="15.6" customHeight="1" x14ac:dyDescent="0.3">
      <c r="A87" s="4"/>
      <c r="B87" s="64"/>
      <c r="C87" s="84" t="s">
        <v>386</v>
      </c>
      <c r="D87" s="112" t="s">
        <v>324</v>
      </c>
      <c r="E87" s="113" t="s">
        <v>387</v>
      </c>
      <c r="F87" s="252">
        <f ca="1">IF(RW=0,0,ROUND(DLF*0.93*RL^LF*RSA^0.4/RW^0.325,3))</f>
        <v>1.0009999999999999</v>
      </c>
      <c r="G87" s="252" t="str">
        <f ca="1">IF(OR(FLSCR="ERROR",FLSPI="ERROR"),"No",IF(TODAY()-'Look Ups'!$D$4*365&gt;I87,"WP Applied","Yes"))</f>
        <v>Yes</v>
      </c>
      <c r="H87" s="253" t="str">
        <f>IF(SPC="","",CONCATENATE("Main-Genoa",IF(FLSCR="valid",IF(OR(CR87="Yes",MSAUSC&gt;0),"-Screacher (Upwind)","-Screacher"),""),IF(FLSPI="valid","-Spinnaker",""),IF(RSAMZ&gt;0,"-Mizzen",""),IF(RSA2M&gt;0,"-Second Main",""),IF(AS&gt;0,"-Staysail",""),IF(AD&gt;0,"-Drifter","")))</f>
        <v>Main-Genoa-Screacher-Spinnaker</v>
      </c>
      <c r="I87" s="1">
        <v>43002</v>
      </c>
      <c r="J87" s="1">
        <v>43859</v>
      </c>
      <c r="K87" s="87" t="s">
        <v>206</v>
      </c>
      <c r="L87" s="87" t="s">
        <v>176</v>
      </c>
      <c r="M87" s="207"/>
      <c r="N87" s="88" t="s">
        <v>143</v>
      </c>
      <c r="O87" s="88" t="s">
        <v>144</v>
      </c>
      <c r="P87" s="89"/>
      <c r="Q87" s="90">
        <v>7.28</v>
      </c>
      <c r="R87" s="87"/>
      <c r="S87" s="256">
        <f>IF((LOAA&gt;LOA),0.025*LOAA,0.025*LOA)</f>
        <v>0.18200000000000002</v>
      </c>
      <c r="T87" s="91"/>
      <c r="U87" s="91"/>
      <c r="V87" s="258">
        <f>IF((_xlfn.SINGLE(LOAA)&gt;_xlfn.SINGLE(LOA)),_xlfn.SINGLE(LOAA),_xlfn.SINGLE(LOA)-_xlfn.SINGLE(FOC)-_xlfn.SINGLE(AOC))</f>
        <v>7.28</v>
      </c>
      <c r="W87" s="259">
        <f>IF(RL&gt;0,IF(RL&gt;'Look Ups'!Y$7,'Look Ups'!Y$8,('Look Ups'!Y$3*RL^3+'Look Ups'!Y$4*RL^2+'Look Ups'!Y$5*RL+'Look Ups'!Y$6)),0)</f>
        <v>0.29099457561600001</v>
      </c>
      <c r="X87" s="92">
        <v>595</v>
      </c>
      <c r="Y87" s="262">
        <f ca="1">IF(WDATE&lt;(TODAY()-'Look Ups'!$D$4*365),-WM*'Look Ups'!$D$5/100,0)</f>
        <v>0</v>
      </c>
      <c r="Z87" s="93"/>
      <c r="AA87" s="93"/>
      <c r="AB87" s="75"/>
      <c r="AC87" s="265">
        <f>WCD+NC*'Look Ups'!$AF$3</f>
        <v>0</v>
      </c>
      <c r="AD87" s="265">
        <f ca="1">IF(RL&lt;'Look Ups'!AM$3,'Look Ups'!AM$4,IF(RL&gt;'Look Ups'!AM$5,'Look Ups'!AM$6,(RL-'Look Ups'!AM$3)/('Look Ups'!AM$5-'Look Ups'!AM$3)*('Look Ups'!AM$6-'Look Ups'!AM$4)+'Look Ups'!AM$4))/100*WS</f>
        <v>165.95090909090908</v>
      </c>
      <c r="AE87" s="266">
        <f ca="1">WM+WP+WE</f>
        <v>595</v>
      </c>
      <c r="AF87" s="267">
        <f ca="1">_xlfn.SINGLE(WS)+IF(_xlfn.SINGLE(TCW)&gt;=_xlfn.SINGLE(CWA),_xlfn.SINGLE(CWA),_xlfn.SINGLE(TCW))</f>
        <v>595</v>
      </c>
      <c r="AG87" s="94" t="s">
        <v>145</v>
      </c>
      <c r="AH87" s="95" t="s">
        <v>146</v>
      </c>
      <c r="AI87" s="96" t="s">
        <v>147</v>
      </c>
      <c r="AJ87" s="218"/>
      <c r="AK87" s="273">
        <f>IF(C87="",0,VLOOKUP(AG87,'Look Ups'!$F$3:$G$6,2,0)*VLOOKUP(AH87,'Look Ups'!$I$3:$J$5,2,0)*VLOOKUP(AI87,'Look Ups'!$L$3:$M$7,2,0)*IF(AJ87="",1,VLOOKUP(AJ87,'Look Ups'!$O$3:$P$4,2,0)))</f>
        <v>1</v>
      </c>
      <c r="AL87" s="83">
        <v>10.64</v>
      </c>
      <c r="AM87" s="91">
        <v>10.59</v>
      </c>
      <c r="AN87" s="91">
        <v>2.94</v>
      </c>
      <c r="AO87" s="91">
        <v>1.37</v>
      </c>
      <c r="AP87" s="91">
        <v>0.17</v>
      </c>
      <c r="AQ87" s="91">
        <v>10.72</v>
      </c>
      <c r="AR87" s="91">
        <v>0.05</v>
      </c>
      <c r="AS87" s="91">
        <v>2.96</v>
      </c>
      <c r="AT87" s="91">
        <v>0</v>
      </c>
      <c r="AU87" s="91">
        <v>0.51</v>
      </c>
      <c r="AV87" s="91" t="s">
        <v>148</v>
      </c>
      <c r="AW87" s="97"/>
      <c r="AX87" s="256">
        <f>P+ER</f>
        <v>10.72</v>
      </c>
      <c r="AY87" s="256">
        <f>P*0.375*MC</f>
        <v>2.0502000000000002</v>
      </c>
      <c r="AZ87" s="275">
        <f>IF(C87="",0,(0.5*(_ML1*LPM)+0.5*(_ML1*HB)+0.66*(P*PR)+0.66*(_ML2*RDM)+0.66*(E*ER))*VLOOKUP(BATT,'Look Ups'!$U$3:$V$4,2,0))</f>
        <v>24.471158000000003</v>
      </c>
      <c r="BA87" s="98"/>
      <c r="BB87" s="99"/>
      <c r="BC87" s="83">
        <v>9.11</v>
      </c>
      <c r="BD87" s="91">
        <v>2.0699999999999998</v>
      </c>
      <c r="BE87" s="91">
        <v>2.3199999999999998</v>
      </c>
      <c r="BF87" s="91">
        <v>0.06</v>
      </c>
      <c r="BG87" s="91">
        <v>8.27</v>
      </c>
      <c r="BH87" s="91"/>
      <c r="BI87" s="91"/>
      <c r="BJ87" s="91">
        <v>-7.0000000000000007E-2</v>
      </c>
      <c r="BK87" s="91"/>
      <c r="BL87" s="97"/>
      <c r="BM87" s="275">
        <f>(0.5*LL*LPG)+(0.5*_LG1*HG)+(0.66*LL*LLRG)+(0.66*FG*FRG)+(IF((HG&gt;0),(0.66*_LG2*LRG),(0.66*_LG1*LRG)))</f>
        <v>9.1386479999999999</v>
      </c>
      <c r="BN87" s="282"/>
      <c r="BO87" s="283"/>
      <c r="BP87" s="284"/>
      <c r="BQ87" s="284"/>
      <c r="BR87" s="283"/>
      <c r="BS87" s="284"/>
      <c r="BT87" s="284"/>
      <c r="BU87" s="280">
        <f>(0.5*LLS*LPS)+(0.66*LLS*LLRS)+(0.66*LS*LRS)+(0.66*FS*FRS)</f>
        <v>0</v>
      </c>
      <c r="BV87" s="285"/>
      <c r="BW87" s="283"/>
      <c r="BX87" s="283"/>
      <c r="BY87" s="283"/>
      <c r="BZ87" s="283"/>
      <c r="CA87" s="283"/>
      <c r="CB87" s="283"/>
      <c r="CC87" s="275">
        <f>(0.5*LLD*LPD)+(0.66*LLD*LLRD)+(0.66*LCHD*LRD)+(0.66*FD*FRD)</f>
        <v>0</v>
      </c>
      <c r="CD87" s="98">
        <v>6.48</v>
      </c>
      <c r="CE87" s="91">
        <v>12.6</v>
      </c>
      <c r="CF87" s="91">
        <v>11.06</v>
      </c>
      <c r="CG87" s="91">
        <v>5.55</v>
      </c>
      <c r="CH87" s="266">
        <f>IF(SF&gt;0,SMG/SF*100,"")</f>
        <v>85.648148148148138</v>
      </c>
      <c r="CI87" s="283"/>
      <c r="CJ87" s="280">
        <f>SF*(_SL1+_SL2)/4+(SMG-SF/2)*(_SL1+_SL2)/3</f>
        <v>56.547399999999996</v>
      </c>
      <c r="CK87" s="83">
        <v>6.22</v>
      </c>
      <c r="CL87" s="91">
        <v>11.56</v>
      </c>
      <c r="CM87" s="91">
        <v>9.9600000000000009</v>
      </c>
      <c r="CN87" s="91">
        <v>3.7</v>
      </c>
      <c r="CO87" s="256">
        <f>IF(SCRF&gt;0,SCRMG/SCRF*100,"")</f>
        <v>59.485530546623799</v>
      </c>
      <c r="CP87" s="283"/>
      <c r="CQ87" s="256">
        <f>SCRF*(SCRL1+SCRL2)/4+(SCRMG-SCRF/2)*(SCRL1+SCRL2)/3</f>
        <v>37.695866666666674</v>
      </c>
      <c r="CR87" s="256" t="str">
        <f>IF(CO87&lt;'Look Ups'!$AC$4,"Yes","No")</f>
        <v>No</v>
      </c>
      <c r="CS87" s="267">
        <f>IF(CR87="Yes",MIN(150,('Look Ups'!$AC$4-PSCR)/('Look Ups'!$AC$4-'Look Ups'!$AC$3)*100),0)</f>
        <v>0</v>
      </c>
      <c r="CT87" s="83"/>
      <c r="CU87" s="91"/>
      <c r="CV87" s="91"/>
      <c r="CW87" s="91"/>
      <c r="CX87" s="256" t="str">
        <f>IF(USCRF&gt;0,USCRMG/USCRF*100,"")</f>
        <v/>
      </c>
      <c r="CY87" s="293">
        <f>IF(PUSCR&lt;'Look Ups'!$AC$4,MIN(150,('Look Ups'!$AC$4-PUSCR)/('Look Ups'!$AC$4-'Look Ups'!$AC$3)*100),0)</f>
        <v>0</v>
      </c>
      <c r="CZ87" s="275">
        <f>IF(PUSCR&lt;'Look Ups'!$AC$4,USCRF*(USCRL1+USCRL2)/4+(USCRMG-USCRF/2)*(USCRL1+USCRL2)/3,0)</f>
        <v>0</v>
      </c>
      <c r="DA87" s="294">
        <f>IF(ZVAL=1,1,IF(LPM&gt;0,0.64*((AM+MAM)/(E+(MC/2))^2)^0.3,0))</f>
        <v>1</v>
      </c>
      <c r="DB87" s="256">
        <f>0.65*((AM+MAM)*EFM)+0.35*((AM+MAM)*ZVAL)</f>
        <v>26.521357999999999</v>
      </c>
      <c r="DC87" s="256">
        <f>IF(ZVAL=1,1,IF(LPG&gt;0,0.72*(AG/(LPG^2))^0.3,0))</f>
        <v>1</v>
      </c>
      <c r="DD87" s="256">
        <f>AG*EFG</f>
        <v>9.1386479999999999</v>
      </c>
      <c r="DE87" s="256">
        <f>IF(AZ87&gt;0,'Look Ups'!$S$3,0)</f>
        <v>1</v>
      </c>
      <c r="DF87" s="256">
        <f>IF(LPS&gt;0,0.72*(AS/(LPS^2))^0.3,0)</f>
        <v>0</v>
      </c>
      <c r="DG87" s="256">
        <f>EFS*AS</f>
        <v>0</v>
      </c>
      <c r="DH87" s="256">
        <f>IF(LPD&gt;0,0.72*(AD/(LPD^2))^0.3,0)</f>
        <v>0</v>
      </c>
      <c r="DI87" s="280">
        <f>IF((AD-AG)&gt;0,0.3*(AD-AG)*EFD,0)</f>
        <v>0</v>
      </c>
      <c r="DJ87" s="295" t="str">
        <f>IF((SCRF=0),"-",IF(AND(MSASC&gt;AG,SCRMG&lt;(0.75*SCRF)),"valid","ERROR"))</f>
        <v>valid</v>
      </c>
      <c r="DK87" s="266" t="str">
        <f>IF((SF=0),"-",IF((SMG&lt;(0.75*SF)),"ERROR",IF(AND(MSASP&gt;MSASC,MSASP&gt;AG,MSASP&gt;=0.36*RSAM),"valid","Small")))</f>
        <v>valid</v>
      </c>
      <c r="DL87" s="267" t="str">
        <f>IF(C87="","",CONCATENATE("MG",IF(FLSCR="valid","Scr",""),IF(FLSPI="valid","SP","")))</f>
        <v>MGScrSP</v>
      </c>
      <c r="DM87" s="294">
        <f>RSAM+RSAG</f>
        <v>35.660005999999996</v>
      </c>
      <c r="DN87" s="256">
        <f>IF(MSASP&gt;0,'Look Ups'!$AI$4*(ZVAL*MSASP-RSAG),0)</f>
        <v>14.222625599999997</v>
      </c>
      <c r="DO87" s="256">
        <f>IF(AND(MSASC&gt;0,(MSASC&gt;=0.36*RSAM)),('Look Ups'!$AI$3*(ZVAL*MSASC-RSAG)),(0))</f>
        <v>9.9950265333333359</v>
      </c>
      <c r="DP87" s="256">
        <f>IF(MSASP&gt;0,'Look Ups'!$AI$5*(ZVAL*MSASP-RSAG),0)</f>
        <v>13.27445056</v>
      </c>
      <c r="DQ87" s="256">
        <f>IF(MSASC&gt;0,'Look Ups'!$AI$6*(MSASC-RSAG),0)</f>
        <v>1.9990053066666673</v>
      </c>
      <c r="DR87" s="280">
        <f>'Look Ups'!$AI$7*MAX(IF(MSAUSC&gt;0,EUSC/100*(MSAUSC-RSAG),0),IF(CR87="Yes",ELSC/100*(MSASC-RSAG),0))</f>
        <v>0</v>
      </c>
      <c r="DS87" s="280">
        <f>0.36*RSAM</f>
        <v>9.547688879999999</v>
      </c>
      <c r="DT87" s="296">
        <f>_xlfn.IFS(SPC="MG",RAMG+DS87,SPC="MGScr",RAMG+RASCO,SPC="MGSp",RAMG+RASPO,SPC="MGScrSp",RAMG+RASPSC+RASCR)+RAUSC+RSAST+RSAD+RSAMZ+RSA2M</f>
        <v>50.933461866666661</v>
      </c>
      <c r="DU87" s="63"/>
    </row>
    <row r="88" spans="1:125" ht="15.6" customHeight="1" x14ac:dyDescent="0.3">
      <c r="A88" s="4"/>
      <c r="B88" s="64"/>
      <c r="C88" s="64" t="s">
        <v>388</v>
      </c>
      <c r="D88" s="85" t="s">
        <v>389</v>
      </c>
      <c r="E88" s="86" t="s">
        <v>390</v>
      </c>
      <c r="F88" s="252">
        <f ca="1">IF(RW=0,0,ROUND(DLF*0.93*RL^LF*RSA^0.4/RW^0.325,3))</f>
        <v>0.85499999999999998</v>
      </c>
      <c r="G88" s="252" t="str">
        <f ca="1">IF(OR(FLSCR="ERROR",FLSPI="ERROR"),"No",IF(TODAY()-'Look Ups'!$D$4*365&gt;I88,"WP Applied","Yes"))</f>
        <v>WP Applied</v>
      </c>
      <c r="H88" s="253" t="str">
        <f>IF(SPC="","",CONCATENATE("Main-Genoa",IF(FLSCR="valid",IF(OR(CR88="Yes",MSAUSC&gt;0),"-Screacher (Upwind)","-Screacher"),""),IF(FLSPI="valid","-Spinnaker",""),IF(RSAMZ&gt;0,"-Mizzen",""),IF(RSA2M&gt;0,"-Second Main",""),IF(AS&gt;0,"-Staysail",""),IF(AD&gt;0,"-Drifter","")))</f>
        <v>Main-Genoa-Screacher (Upwind)-Spinnaker</v>
      </c>
      <c r="I88" s="1">
        <v>41343</v>
      </c>
      <c r="J88" s="1">
        <v>41450</v>
      </c>
      <c r="K88" s="87" t="s">
        <v>391</v>
      </c>
      <c r="L88" s="87" t="s">
        <v>164</v>
      </c>
      <c r="M88" s="207"/>
      <c r="N88" s="88" t="s">
        <v>165</v>
      </c>
      <c r="O88" s="88"/>
      <c r="P88" s="89">
        <v>7.8</v>
      </c>
      <c r="Q88" s="90">
        <v>13.827999999999999</v>
      </c>
      <c r="R88" s="87"/>
      <c r="S88" s="256">
        <f>IF((LOAA&gt;LOA),0.025*LOAA,0.025*LOA)</f>
        <v>0.34570000000000001</v>
      </c>
      <c r="T88" s="91">
        <v>0.318</v>
      </c>
      <c r="U88" s="91">
        <v>0</v>
      </c>
      <c r="V88" s="258">
        <f>IF((_xlfn.SINGLE(LOAA)&gt;_xlfn.SINGLE(LOA)),_xlfn.SINGLE(LOAA),_xlfn.SINGLE(LOA)-_xlfn.SINGLE(FOC)-_xlfn.SINGLE(AOC))</f>
        <v>13.51</v>
      </c>
      <c r="W88" s="259">
        <f>IF(RL&gt;0,IF(RL&gt;'Look Ups'!Y$7,'Look Ups'!Y$8,('Look Ups'!Y$3*RL^3+'Look Ups'!Y$4*RL^2+'Look Ups'!Y$5*RL+'Look Ups'!Y$6)),0)</f>
        <v>0.3</v>
      </c>
      <c r="X88" s="92">
        <v>6533</v>
      </c>
      <c r="Y88" s="263">
        <f ca="1">IF(WDATE&lt;(TODAY()-'Look Ups'!$D$4*365),-WM*'Look Ups'!$D$5/100,0)</f>
        <v>-979.95</v>
      </c>
      <c r="Z88" s="103"/>
      <c r="AA88" s="109"/>
      <c r="AB88" s="363"/>
      <c r="AC88" s="265">
        <f>WCD+NC*'Look Ups'!$AF$3</f>
        <v>0</v>
      </c>
      <c r="AD88" s="265">
        <f ca="1">IF(RL&lt;'Look Ups'!AM$3,'Look Ups'!AM$4,IF(RL&gt;'Look Ups'!AM$5,'Look Ups'!AM$6,(RL-'Look Ups'!AM$3)/('Look Ups'!AM$5-'Look Ups'!AM$3)*('Look Ups'!AM$6-'Look Ups'!AM$4)+'Look Ups'!AM$4))/100*WS</f>
        <v>555.30500000000006</v>
      </c>
      <c r="AE88" s="269">
        <f ca="1">WM+WP+WE</f>
        <v>5553.05</v>
      </c>
      <c r="AF88" s="267">
        <f ca="1">_xlfn.SINGLE(WS)+IF(_xlfn.SINGLE(TCW)&gt;=_xlfn.SINGLE(CWA),_xlfn.SINGLE(CWA),_xlfn.SINGLE(TCW))</f>
        <v>5553.05</v>
      </c>
      <c r="AG88" s="94" t="s">
        <v>145</v>
      </c>
      <c r="AH88" s="95" t="s">
        <v>146</v>
      </c>
      <c r="AI88" s="96" t="s">
        <v>147</v>
      </c>
      <c r="AJ88" s="218"/>
      <c r="AK88" s="273">
        <f>IF(C88="",0,VLOOKUP(AG88,'Look Ups'!$F$3:$G$6,2,0)*VLOOKUP(AH88,'Look Ups'!$I$3:$J$5,2,0)*VLOOKUP(AI88,'Look Ups'!$L$3:$M$7,2,0)*IF(AJ88="",1,VLOOKUP(AJ88,'Look Ups'!$O$3:$P$4,2,0)))</f>
        <v>1</v>
      </c>
      <c r="AL88" s="83">
        <v>17.899999999999999</v>
      </c>
      <c r="AM88" s="91">
        <v>17.63</v>
      </c>
      <c r="AN88" s="91">
        <v>4.67</v>
      </c>
      <c r="AO88" s="91">
        <v>1.75</v>
      </c>
      <c r="AP88" s="91">
        <v>0.6</v>
      </c>
      <c r="AQ88" s="91">
        <v>17.55</v>
      </c>
      <c r="AR88" s="91">
        <v>0.2</v>
      </c>
      <c r="AS88" s="91">
        <v>4.875</v>
      </c>
      <c r="AT88" s="91">
        <v>0</v>
      </c>
      <c r="AU88" s="91"/>
      <c r="AV88" s="91" t="s">
        <v>148</v>
      </c>
      <c r="AW88" s="97"/>
      <c r="AX88" s="256">
        <f>P+ER</f>
        <v>17.55</v>
      </c>
      <c r="AY88" s="256">
        <f>P*0.375*MC</f>
        <v>0</v>
      </c>
      <c r="AZ88" s="275">
        <f>IF(C88="",0,(0.5*(_ML1*LPM)+0.5*(_ML1*HB)+0.66*(P*PR)+0.66*(_ML2*RDM)+0.66*(E*ER))*VLOOKUP(BATT,'Look Ups'!$U$3:$V$4,2,0))</f>
        <v>66.757079999999988</v>
      </c>
      <c r="BA88" s="98"/>
      <c r="BB88" s="99"/>
      <c r="BC88" s="83">
        <v>16.3</v>
      </c>
      <c r="BD88" s="91">
        <v>3.92</v>
      </c>
      <c r="BE88" s="91">
        <v>4.32</v>
      </c>
      <c r="BF88" s="91">
        <v>0.16</v>
      </c>
      <c r="BG88" s="91">
        <v>15</v>
      </c>
      <c r="BH88" s="91"/>
      <c r="BI88" s="91"/>
      <c r="BJ88" s="91">
        <v>-0.08</v>
      </c>
      <c r="BK88" s="91">
        <v>0.05</v>
      </c>
      <c r="BL88" s="97"/>
      <c r="BM88" s="275">
        <f>(0.5*LL*LPG)+(0.5*_LG1*HG)+(0.66*LL*LLRG)+(0.66*FG*FRG)+(IF((HG&gt;0),(0.66*_LG2*LRG),(0.66*_LG1*LRG)))</f>
        <v>32.150092000000001</v>
      </c>
      <c r="BN88" s="282"/>
      <c r="BO88" s="283"/>
      <c r="BP88" s="284"/>
      <c r="BQ88" s="284"/>
      <c r="BR88" s="283"/>
      <c r="BS88" s="284"/>
      <c r="BT88" s="284"/>
      <c r="BU88" s="280">
        <f>(0.5*LLS*LPS)+(0.66*LLS*LLRS)+(0.66*LS*LRS)+(0.66*FS*FRS)</f>
        <v>0</v>
      </c>
      <c r="BV88" s="285"/>
      <c r="BW88" s="283"/>
      <c r="BX88" s="283"/>
      <c r="BY88" s="283"/>
      <c r="BZ88" s="283"/>
      <c r="CA88" s="283"/>
      <c r="CB88" s="283"/>
      <c r="CC88" s="275">
        <f>(0.5*LLD*LPD)+(0.66*LLD*LLRD)+(0.66*LCHD*LRD)+(0.66*FD*FRD)</f>
        <v>0</v>
      </c>
      <c r="CD88" s="98">
        <v>9.33</v>
      </c>
      <c r="CE88" s="91">
        <v>17.72</v>
      </c>
      <c r="CF88" s="91">
        <v>14.78</v>
      </c>
      <c r="CG88" s="91">
        <v>7.29</v>
      </c>
      <c r="CH88" s="266">
        <f>IF(SF&gt;0,SMG/SF*100,"")</f>
        <v>78.135048231511249</v>
      </c>
      <c r="CI88" s="283"/>
      <c r="CJ88" s="280">
        <f>SF*(_SL1+_SL2)/4+(SMG-SF/2)*(_SL1+_SL2)/3</f>
        <v>104.24375000000001</v>
      </c>
      <c r="CK88" s="83">
        <v>10.039999999999999</v>
      </c>
      <c r="CL88" s="91">
        <v>17.5</v>
      </c>
      <c r="CM88" s="91">
        <v>13.89</v>
      </c>
      <c r="CN88" s="91">
        <v>5.0250000000000004</v>
      </c>
      <c r="CO88" s="256">
        <f>IF(SCRF&gt;0,SCRMG/SCRF*100,"")</f>
        <v>50.049800796812761</v>
      </c>
      <c r="CP88" s="283"/>
      <c r="CQ88" s="256">
        <f>SCRF*(SCRL1+SCRL2)/4+(SCRMG-SCRF/2)*(SCRL1+SCRL2)/3</f>
        <v>78.841216666666668</v>
      </c>
      <c r="CR88" s="256" t="str">
        <f>IF(CO88&lt;'Look Ups'!$AC$4,"Yes","No")</f>
        <v>Yes</v>
      </c>
      <c r="CS88" s="293">
        <f>IF(CR88="Yes",MIN(150,('Look Ups'!$AC$4-PSCR)/('Look Ups'!$AC$4-'Look Ups'!$AC$3)*100),0)</f>
        <v>39.003984063744781</v>
      </c>
      <c r="CT88" s="83"/>
      <c r="CU88" s="91"/>
      <c r="CV88" s="91"/>
      <c r="CW88" s="91"/>
      <c r="CX88" s="256" t="str">
        <f>IF(USCRF&gt;0,USCRMG/USCRF*100,"")</f>
        <v/>
      </c>
      <c r="CY88" s="293">
        <f>IF(PUSCR&lt;'Look Ups'!$AC$4,MIN(150,('Look Ups'!$AC$4-PUSCR)/('Look Ups'!$AC$4-'Look Ups'!$AC$3)*100),0)</f>
        <v>0</v>
      </c>
      <c r="CZ88" s="275">
        <f>IF(PUSCR&lt;'Look Ups'!$AC$4,USCRF*(USCRL1+USCRL2)/4+(USCRMG-USCRF/2)*(USCRL1+USCRL2)/3,0)</f>
        <v>0</v>
      </c>
      <c r="DA88" s="294">
        <f>IF(ZVAL=1,1,IF(LPM&gt;0,0.64*((AM+MAM)/(E+(MC/2))^2)^0.3,0))</f>
        <v>1</v>
      </c>
      <c r="DB88" s="256">
        <f>0.65*((AM+MAM)*EFM)+0.35*((AM+MAM)*ZVAL)</f>
        <v>66.757079999999988</v>
      </c>
      <c r="DC88" s="256">
        <f>IF(ZVAL=1,1,IF(LPG&gt;0,0.72*(AG/(LPG^2))^0.3,0))</f>
        <v>1</v>
      </c>
      <c r="DD88" s="256">
        <f>AG*EFG</f>
        <v>32.150092000000001</v>
      </c>
      <c r="DE88" s="256">
        <f>IF(AZ88&gt;0,'Look Ups'!$S$3,0)</f>
        <v>1</v>
      </c>
      <c r="DF88" s="256">
        <f>IF(LPS&gt;0,0.72*(AS/(LPS^2))^0.3,0)</f>
        <v>0</v>
      </c>
      <c r="DG88" s="256">
        <f>EFS*AS</f>
        <v>0</v>
      </c>
      <c r="DH88" s="256">
        <f>IF(LPD&gt;0,0.72*(AD/(LPD^2))^0.3,0)</f>
        <v>0</v>
      </c>
      <c r="DI88" s="280">
        <f>IF((AD-AG)&gt;0,0.3*(AD-AG)*EFD,0)</f>
        <v>0</v>
      </c>
      <c r="DJ88" s="295" t="str">
        <f>IF((SCRF=0),"-",IF(AND(MSASC&gt;AG,SCRMG&lt;(0.75*SCRF)),"valid","ERROR"))</f>
        <v>valid</v>
      </c>
      <c r="DK88" s="266" t="str">
        <f>IF((SF=0),"-",IF((SMG&lt;(0.75*SF)),"ERROR",IF(AND(MSASP&gt;MSASC,MSASP&gt;AG,MSASP&gt;=0.36*RSAM),"valid","Small")))</f>
        <v>valid</v>
      </c>
      <c r="DL88" s="267" t="str">
        <f>IF(C88="","",CONCATENATE("MG",IF(FLSCR="valid","Scr",""),IF(FLSPI="valid","SP","")))</f>
        <v>MGScrSP</v>
      </c>
      <c r="DM88" s="294">
        <f>RSAM+RSAG</f>
        <v>98.907171999999989</v>
      </c>
      <c r="DN88" s="256">
        <f>IF(MSASP&gt;0,'Look Ups'!$AI$4*(ZVAL*MSASP-RSAG),0)</f>
        <v>21.628097400000001</v>
      </c>
      <c r="DO88" s="256">
        <f>IF(AND(MSASC&gt;0,(MSASC&gt;=0.36*RSAM)),('Look Ups'!$AI$3*(ZVAL*MSASC-RSAG)),(0))</f>
        <v>16.341893633333331</v>
      </c>
      <c r="DP88" s="256">
        <f>IF(MSASP&gt;0,'Look Ups'!$AI$5*(ZVAL*MSASP-RSAG),0)</f>
        <v>20.186224240000005</v>
      </c>
      <c r="DQ88" s="256">
        <f>IF(MSASC&gt;0,'Look Ups'!$AI$6*(MSASC-RSAG),0)</f>
        <v>3.2683787266666671</v>
      </c>
      <c r="DR88" s="280">
        <f>'Look Ups'!$AI$7*MAX(IF(MSAUSC&gt;0,EUSC/100*(MSAUSC-RSAG),0),IF(CR88="Yes",ELSC/100*(MSASC-RSAG),0))</f>
        <v>4.5528497060424682</v>
      </c>
      <c r="DS88" s="280">
        <f>0.36*RSAM</f>
        <v>24.032548799999994</v>
      </c>
      <c r="DT88" s="296">
        <f>_xlfn.IFS(SPC="MG",RAMG+DS88,SPC="MGScr",RAMG+RASCO,SPC="MGSp",RAMG+RASPO,SPC="MGScrSp",RAMG+RASPSC+RASCR)+RAUSC+RSAST+RSAD+RSAMZ+RSA2M</f>
        <v>126.91462467270912</v>
      </c>
      <c r="DU88" s="63"/>
    </row>
    <row r="89" spans="1:125" ht="15.6" customHeight="1" x14ac:dyDescent="0.3">
      <c r="A89" s="4"/>
      <c r="B89" s="64"/>
      <c r="C89" s="64" t="s">
        <v>392</v>
      </c>
      <c r="D89" s="90" t="s">
        <v>393</v>
      </c>
      <c r="E89" s="86" t="s">
        <v>394</v>
      </c>
      <c r="F89" s="252">
        <f ca="1">IF(RW=0,0,ROUND(DLF*0.93*RL^LF*RSA^0.4/RW^0.325,3))</f>
        <v>0.83499999999999996</v>
      </c>
      <c r="G89" s="252" t="str">
        <f ca="1">IF(OR(FLSCR="ERROR",FLSPI="ERROR"),"No",IF(TODAY()-'Look Ups'!$D$4*365&gt;I89,"WP Applied","Yes"))</f>
        <v>WP Applied</v>
      </c>
      <c r="H89" s="253" t="str">
        <f>IF(SPC="","",CONCATENATE("Main-Genoa",IF(FLSCR="valid",IF(OR(CR89="Yes",MSAUSC&gt;0),"-Screacher (Upwind)","-Screacher"),""),IF(FLSPI="valid","-Spinnaker",""),IF(RSAMZ&gt;0,"-Mizzen",""),IF(RSA2M&gt;0,"-Second Main",""),IF(AS&gt;0,"-Staysail",""),IF(AD&gt;0,"-Drifter","")))</f>
        <v>Main-Genoa-Screacher (Upwind)-Spinnaker</v>
      </c>
      <c r="I89" s="108">
        <v>40432</v>
      </c>
      <c r="J89" s="1">
        <v>44592</v>
      </c>
      <c r="K89" s="87" t="s">
        <v>385</v>
      </c>
      <c r="L89" s="87" t="s">
        <v>164</v>
      </c>
      <c r="M89" s="207"/>
      <c r="N89" s="97" t="s">
        <v>143</v>
      </c>
      <c r="O89" s="97"/>
      <c r="P89" s="102"/>
      <c r="Q89" s="90">
        <v>10.6</v>
      </c>
      <c r="R89" s="87"/>
      <c r="S89" s="256">
        <f>IF((LOAA&gt;LOA),0.025*LOAA,0.025*LOA)</f>
        <v>0.26500000000000001</v>
      </c>
      <c r="T89" s="91">
        <v>0.1</v>
      </c>
      <c r="U89" s="91">
        <v>0</v>
      </c>
      <c r="V89" s="258">
        <f>IF((_xlfn.SINGLE(LOAA)&gt;_xlfn.SINGLE(LOA)),_xlfn.SINGLE(LOAA),_xlfn.SINGLE(LOA)-_xlfn.SINGLE(FOC)-_xlfn.SINGLE(AOC))</f>
        <v>10.5</v>
      </c>
      <c r="W89" s="259">
        <f>IF(RL&gt;0,IF(RL&gt;'Look Ups'!Y$7,'Look Ups'!Y$8,('Look Ups'!Y$3*RL^3+'Look Ups'!Y$4*RL^2+'Look Ups'!Y$5*RL+'Look Ups'!Y$6)),0)</f>
        <v>0.29910162500000004</v>
      </c>
      <c r="X89" s="92">
        <v>3231</v>
      </c>
      <c r="Y89" s="262">
        <f ca="1">IF(WDATE&lt;(TODAY()-'Look Ups'!$D$4*365),-WM*'Look Ups'!$D$5/100,0)</f>
        <v>-484.65</v>
      </c>
      <c r="Z89" s="93"/>
      <c r="AA89" s="93"/>
      <c r="AB89" s="75"/>
      <c r="AC89" s="265">
        <f>WCD+NC*'Look Ups'!$AF$3</f>
        <v>0</v>
      </c>
      <c r="AD89" s="265">
        <f ca="1">IF(RL&lt;'Look Ups'!AM$3,'Look Ups'!AM$4,IF(RL&gt;'Look Ups'!AM$5,'Look Ups'!AM$6,(RL-'Look Ups'!AM$3)/('Look Ups'!AM$5-'Look Ups'!AM$3)*('Look Ups'!AM$6-'Look Ups'!AM$4)+'Look Ups'!AM$4))/100*WS</f>
        <v>444.40936363636359</v>
      </c>
      <c r="AE89" s="266">
        <f ca="1">WM+WP+WE</f>
        <v>2746.35</v>
      </c>
      <c r="AF89" s="267">
        <f ca="1">_xlfn.SINGLE(WS)+IF(_xlfn.SINGLE(TCW)&gt;=_xlfn.SINGLE(CWA),_xlfn.SINGLE(CWA),_xlfn.SINGLE(TCW))</f>
        <v>2746.35</v>
      </c>
      <c r="AG89" s="94" t="s">
        <v>145</v>
      </c>
      <c r="AH89" s="95" t="s">
        <v>146</v>
      </c>
      <c r="AI89" s="96" t="s">
        <v>147</v>
      </c>
      <c r="AJ89" s="218"/>
      <c r="AK89" s="273">
        <f>IF(C89="",0,VLOOKUP(AG89,'Look Ups'!$F$3:$G$6,2,0)*VLOOKUP(AH89,'Look Ups'!$I$3:$J$5,2,0)*VLOOKUP(AI89,'Look Ups'!$L$3:$M$7,2,0)*IF(AJ89="",1,VLOOKUP(AJ89,'Look Ups'!$O$3:$P$4,2,0)))</f>
        <v>1</v>
      </c>
      <c r="AL89" s="83">
        <v>12.97</v>
      </c>
      <c r="AM89" s="91">
        <v>12.65</v>
      </c>
      <c r="AN89" s="91">
        <v>3.72</v>
      </c>
      <c r="AO89" s="91">
        <v>1.22</v>
      </c>
      <c r="AP89" s="91">
        <v>0.6</v>
      </c>
      <c r="AQ89" s="91">
        <v>12.68</v>
      </c>
      <c r="AR89" s="91">
        <v>0.12</v>
      </c>
      <c r="AS89" s="91">
        <v>3.8</v>
      </c>
      <c r="AT89" s="91">
        <v>0</v>
      </c>
      <c r="AU89" s="91">
        <v>0</v>
      </c>
      <c r="AV89" s="91" t="s">
        <v>148</v>
      </c>
      <c r="AW89" s="97" t="s">
        <v>395</v>
      </c>
      <c r="AX89" s="256">
        <f>P+ER</f>
        <v>12.68</v>
      </c>
      <c r="AY89" s="256">
        <f>P*0.375*MC</f>
        <v>0</v>
      </c>
      <c r="AZ89" s="275">
        <f>IF(C89="",0,(0.5*(_ML1*LPM)+0.5*(_ML1*HB)+0.66*(P*PR)+0.66*(_ML2*RDM)+0.66*(E*ER))*VLOOKUP(BATT,'Look Ups'!$U$3:$V$4,2,0))</f>
        <v>38.049556000000003</v>
      </c>
      <c r="BA89" s="98"/>
      <c r="BB89" s="99"/>
      <c r="BC89" s="83">
        <v>11.9</v>
      </c>
      <c r="BD89" s="91">
        <v>3.92</v>
      </c>
      <c r="BE89" s="91">
        <v>4.55</v>
      </c>
      <c r="BF89" s="91">
        <v>0.09</v>
      </c>
      <c r="BG89" s="91">
        <v>10.18</v>
      </c>
      <c r="BH89" s="91"/>
      <c r="BI89" s="91"/>
      <c r="BJ89" s="91">
        <v>-0.19</v>
      </c>
      <c r="BK89" s="91">
        <v>7.0000000000000007E-2</v>
      </c>
      <c r="BL89" s="97" t="s">
        <v>395</v>
      </c>
      <c r="BM89" s="275">
        <f>(0.5*LL*LPG)+(0.5*_LG1*HG)+(0.66*LL*LLRG)+(0.66*FG*FRG)+(IF((HG&gt;0),(0.66*_LG2*LRG),(0.66*_LG1*LRG)))</f>
        <v>22.867478000000002</v>
      </c>
      <c r="BN89" s="282"/>
      <c r="BO89" s="283"/>
      <c r="BP89" s="284"/>
      <c r="BQ89" s="284"/>
      <c r="BR89" s="283"/>
      <c r="BS89" s="284"/>
      <c r="BT89" s="283"/>
      <c r="BU89" s="280">
        <f>(0.5*LLS*LPS)+(0.66*LLS*LLRS)+(0.66*LS*LRS)+(0.66*FS*FRS)</f>
        <v>0</v>
      </c>
      <c r="BV89" s="285"/>
      <c r="BW89" s="283"/>
      <c r="BX89" s="283"/>
      <c r="BY89" s="283"/>
      <c r="BZ89" s="286"/>
      <c r="CA89" s="283"/>
      <c r="CB89" s="283"/>
      <c r="CC89" s="275">
        <f>(0.5*LLD*LPD)+(0.66*LLD*LLRD)+(0.66*LCHD*LRD)+(0.66*FD*FRD)</f>
        <v>0</v>
      </c>
      <c r="CD89" s="98">
        <v>8.26</v>
      </c>
      <c r="CE89" s="91">
        <v>14.8</v>
      </c>
      <c r="CF89" s="91">
        <v>13.13</v>
      </c>
      <c r="CG89" s="91">
        <v>7.76</v>
      </c>
      <c r="CH89" s="266">
        <f>IF(SF&gt;0,SMG/SF*100,"")</f>
        <v>93.946731234866832</v>
      </c>
      <c r="CI89" s="283"/>
      <c r="CJ89" s="280">
        <f>SF*(_SL1+_SL2)/4+(SMG-SF/2)*(_SL1+_SL2)/3</f>
        <v>91.470749999999995</v>
      </c>
      <c r="CK89" s="83">
        <v>6.12</v>
      </c>
      <c r="CL89" s="91">
        <v>12.74</v>
      </c>
      <c r="CM89" s="91">
        <v>10.7</v>
      </c>
      <c r="CN89" s="91">
        <v>3.0920000000000001</v>
      </c>
      <c r="CO89" s="256">
        <f>IF(SCRF&gt;0,SCRMG/SCRF*100,"")</f>
        <v>50.522875816993462</v>
      </c>
      <c r="CP89" s="286"/>
      <c r="CQ89" s="256">
        <f>SCRF*(SCRL1+SCRL2)/4+(SCRMG-SCRF/2)*(SCRL1+SCRL2)/3</f>
        <v>36.113226666666669</v>
      </c>
      <c r="CR89" s="256" t="str">
        <f>IF(CO89&lt;'Look Ups'!$AC$4,"Yes","No")</f>
        <v>Yes</v>
      </c>
      <c r="CS89" s="267">
        <f>IF(CR89="Yes",MIN(150,('Look Ups'!$AC$4-PSCR)/('Look Ups'!$AC$4-'Look Ups'!$AC$3)*100),0)</f>
        <v>29.54248366013076</v>
      </c>
      <c r="CT89" s="83"/>
      <c r="CU89" s="91"/>
      <c r="CV89" s="91"/>
      <c r="CW89" s="91"/>
      <c r="CX89" s="256" t="str">
        <f>IF(USCRF&gt;0,USCRMG/USCRF*100,"")</f>
        <v/>
      </c>
      <c r="CY89" s="293">
        <f>IF(PUSCR&lt;'Look Ups'!$AC$4,MIN(150,('Look Ups'!$AC$4-PUSCR)/('Look Ups'!$AC$4-'Look Ups'!$AC$3)*100),0)</f>
        <v>0</v>
      </c>
      <c r="CZ89" s="275">
        <f>IF(PUSCR&lt;'Look Ups'!$AC$4,USCRF*(USCRL1+USCRL2)/4+(USCRMG-USCRF/2)*(USCRL1+USCRL2)/3,0)</f>
        <v>0</v>
      </c>
      <c r="DA89" s="294">
        <f>IF(ZVAL=1,1,IF(LPM&gt;0,0.64*((AM+MAM)/(E+(MC/2))^2)^0.3,0))</f>
        <v>1</v>
      </c>
      <c r="DB89" s="256">
        <f>0.65*((AM+MAM)*EFM)+0.35*((AM+MAM)*ZVAL)</f>
        <v>38.049556000000003</v>
      </c>
      <c r="DC89" s="256">
        <f>IF(ZVAL=1,1,IF(LPG&gt;0,0.72*(AG/(LPG^2))^0.3,0))</f>
        <v>1</v>
      </c>
      <c r="DD89" s="256">
        <f>AG*EFG</f>
        <v>22.867478000000002</v>
      </c>
      <c r="DE89" s="256">
        <f>IF(AZ89&gt;0,'Look Ups'!$S$3,0)</f>
        <v>1</v>
      </c>
      <c r="DF89" s="256">
        <f>IF(LPS&gt;0,0.72*(AS/(LPS^2))^0.3,0)</f>
        <v>0</v>
      </c>
      <c r="DG89" s="256">
        <f>EFS*AS</f>
        <v>0</v>
      </c>
      <c r="DH89" s="256">
        <f>IF(LPD&gt;0,0.72*(AD/(LPD^2))^0.3,0)</f>
        <v>0</v>
      </c>
      <c r="DI89" s="280">
        <f>IF((AD-AG)&gt;0,0.3*(AD-AG)*EFD,0)</f>
        <v>0</v>
      </c>
      <c r="DJ89" s="295" t="str">
        <f>IF((SCRF=0),"-",IF(AND(MSASC&gt;AG,SCRMG&lt;(0.75*SCRF)),"valid","ERROR"))</f>
        <v>valid</v>
      </c>
      <c r="DK89" s="266" t="str">
        <f>IF((SF=0),"-",IF((SMG&lt;(0.75*SF)),"ERROR",IF(AND(MSASP&gt;MSASC,MSASP&gt;AG,MSASP&gt;=0.36*RSAM),"valid","Small")))</f>
        <v>valid</v>
      </c>
      <c r="DL89" s="267" t="str">
        <f>IF(C89="","",CONCATENATE("MG",IF(FLSCR="valid","Scr",""),IF(FLSPI="valid","SP","")))</f>
        <v>MGScrSP</v>
      </c>
      <c r="DM89" s="294">
        <f>RSAM+RSAG</f>
        <v>60.917034000000001</v>
      </c>
      <c r="DN89" s="256">
        <f>IF(MSASP&gt;0,'Look Ups'!$AI$4*(ZVAL*MSASP-RSAG),0)</f>
        <v>20.580981599999998</v>
      </c>
      <c r="DO89" s="256">
        <f>IF(AND(MSASC&gt;0,(MSASC&gt;=0.36*RSAM)),('Look Ups'!$AI$3*(ZVAL*MSASC-RSAG)),(0))</f>
        <v>4.6360120333333334</v>
      </c>
      <c r="DP89" s="256">
        <f>IF(MSASP&gt;0,'Look Ups'!$AI$5*(ZVAL*MSASP-RSAG),0)</f>
        <v>19.208916159999998</v>
      </c>
      <c r="DQ89" s="256">
        <f>IF(MSASC&gt;0,'Look Ups'!$AI$6*(MSASC-RSAG),0)</f>
        <v>0.92720240666666687</v>
      </c>
      <c r="DR89" s="280">
        <f>'Look Ups'!$AI$7*MAX(IF(MSAUSC&gt;0,EUSC/100*(MSAUSC-RSAG),0),IF(CR89="Yes",ELSC/100*(MSASC-RSAG),0))</f>
        <v>0.978280783877997</v>
      </c>
      <c r="DS89" s="280">
        <f>0.36*RSAM</f>
        <v>13.69784016</v>
      </c>
      <c r="DT89" s="296">
        <f>_xlfn.IFS(SPC="MG",RAMG+DS89,SPC="MGScr",RAMG+RASCO,SPC="MGSp",RAMG+RASPO,SPC="MGScrSp",RAMG+RASPSC+RASCR)+RAUSC+RSAST+RSAD+RSAMZ+RSA2M</f>
        <v>82.03143335054466</v>
      </c>
      <c r="DU89" s="63"/>
    </row>
    <row r="90" spans="1:125" ht="15.6" customHeight="1" x14ac:dyDescent="0.3">
      <c r="A90" s="110"/>
      <c r="B90" s="84"/>
      <c r="C90" s="64" t="s">
        <v>396</v>
      </c>
      <c r="D90" s="85" t="s">
        <v>397</v>
      </c>
      <c r="E90" s="86" t="s">
        <v>398</v>
      </c>
      <c r="F90" s="252">
        <f ca="1">IF(RW=0,0,ROUND(DLF*0.93*RL^LF*RSA^0.4/RW^0.325,3))</f>
        <v>0.84799999999999998</v>
      </c>
      <c r="G90" s="252" t="str">
        <f ca="1">IF(OR(FLSCR="ERROR",FLSPI="ERROR"),"No",IF(TODAY()-'Look Ups'!$D$4*365&gt;I90,"WP Applied","Yes"))</f>
        <v>Yes</v>
      </c>
      <c r="H90" s="253" t="str">
        <f>IF(SPC="","",CONCATENATE("Main-Genoa",IF(FLSCR="valid",IF(OR(CR90="Yes",MSAUSC&gt;0),"-Screacher (Upwind)","-Screacher"),""),IF(FLSPI="valid","-Spinnaker",""),IF(RSAMZ&gt;0,"-Mizzen",""),IF(RSA2M&gt;0,"-Second Main",""),IF(AS&gt;0,"-Staysail",""),IF(AD&gt;0,"-Drifter","")))</f>
        <v>Main-Genoa-Spinnaker</v>
      </c>
      <c r="I90" s="1">
        <v>43684</v>
      </c>
      <c r="J90" s="1">
        <v>43684</v>
      </c>
      <c r="K90" s="87" t="s">
        <v>153</v>
      </c>
      <c r="L90" s="87" t="s">
        <v>192</v>
      </c>
      <c r="M90" s="207"/>
      <c r="N90" s="97" t="s">
        <v>143</v>
      </c>
      <c r="O90" s="97" t="s">
        <v>154</v>
      </c>
      <c r="P90" s="100"/>
      <c r="Q90" s="90">
        <v>7.36</v>
      </c>
      <c r="R90" s="87"/>
      <c r="S90" s="256">
        <f>IF((LOAA&gt;LOA),0.025*LOAA,0.025*LOA)</f>
        <v>0.18400000000000002</v>
      </c>
      <c r="T90" s="91">
        <v>0.17</v>
      </c>
      <c r="U90" s="91">
        <v>0</v>
      </c>
      <c r="V90" s="258">
        <f>IF((_xlfn.SINGLE(LOAA)&gt;_xlfn.SINGLE(LOA)),_xlfn.SINGLE(LOAA),_xlfn.SINGLE(LOA)-_xlfn.SINGLE(FOC)-_xlfn.SINGLE(AOC))</f>
        <v>7.19</v>
      </c>
      <c r="W90" s="259">
        <f>IF(RL&gt;0,IF(RL&gt;'Look Ups'!Y$7,'Look Ups'!Y$8,('Look Ups'!Y$3*RL^3+'Look Ups'!Y$4*RL^2+'Look Ups'!Y$5*RL+'Look Ups'!Y$6)),0)</f>
        <v>0.29059639364700002</v>
      </c>
      <c r="X90" s="92">
        <v>940</v>
      </c>
      <c r="Y90" s="262">
        <f ca="1">IF(WDATE&lt;(TODAY()-'Look Ups'!$D$4*365),-WM*'Look Ups'!$D$5/100,0)</f>
        <v>0</v>
      </c>
      <c r="Z90" s="93"/>
      <c r="AA90" s="93"/>
      <c r="AB90" s="75"/>
      <c r="AC90" s="265">
        <f>WCD+NC*'Look Ups'!$AF$3</f>
        <v>0</v>
      </c>
      <c r="AD90" s="265">
        <f ca="1">IF(RL&lt;'Look Ups'!AM$3,'Look Ups'!AM$4,IF(RL&gt;'Look Ups'!AM$5,'Look Ups'!AM$6,(RL-'Look Ups'!AM$3)/('Look Ups'!AM$5-'Look Ups'!AM$3)*('Look Ups'!AM$6-'Look Ups'!AM$4)+'Look Ups'!AM$4))/100*WS</f>
        <v>265.25090909090909</v>
      </c>
      <c r="AE90" s="266">
        <f ca="1">WM+WP+WE</f>
        <v>940</v>
      </c>
      <c r="AF90" s="267">
        <f ca="1">_xlfn.SINGLE(WS)+IF(_xlfn.SINGLE(TCW)&gt;=_xlfn.SINGLE(CWA),_xlfn.SINGLE(CWA),_xlfn.SINGLE(TCW))</f>
        <v>940</v>
      </c>
      <c r="AG90" s="94" t="s">
        <v>145</v>
      </c>
      <c r="AH90" s="95" t="s">
        <v>146</v>
      </c>
      <c r="AI90" s="96" t="s">
        <v>147</v>
      </c>
      <c r="AJ90" s="218"/>
      <c r="AK90" s="273">
        <f>IF(C90="",0,VLOOKUP(AG90,'Look Ups'!$F$3:$G$6,2,0)*VLOOKUP(AH90,'Look Ups'!$I$3:$J$5,2,0)*VLOOKUP(AI90,'Look Ups'!$L$3:$M$7,2,0)*IF(AJ90="",1,VLOOKUP(AJ90,'Look Ups'!$O$3:$P$4,2,0)))</f>
        <v>1</v>
      </c>
      <c r="AL90" s="83">
        <v>10.02</v>
      </c>
      <c r="AM90" s="91">
        <v>9.8000000000000007</v>
      </c>
      <c r="AN90" s="91">
        <v>3</v>
      </c>
      <c r="AO90" s="91">
        <v>1.1599999999999999</v>
      </c>
      <c r="AP90" s="91">
        <v>0.44</v>
      </c>
      <c r="AQ90" s="91">
        <v>9.48</v>
      </c>
      <c r="AR90" s="91">
        <v>0.05</v>
      </c>
      <c r="AS90" s="91">
        <v>3.2</v>
      </c>
      <c r="AT90" s="91">
        <v>0.2</v>
      </c>
      <c r="AU90" s="91">
        <v>0.47</v>
      </c>
      <c r="AV90" s="91" t="s">
        <v>148</v>
      </c>
      <c r="AW90" s="97">
        <v>0</v>
      </c>
      <c r="AX90" s="256">
        <f>P+ER</f>
        <v>9.68</v>
      </c>
      <c r="AY90" s="256">
        <f>P*0.375*MC</f>
        <v>1.6708499999999999</v>
      </c>
      <c r="AZ90" s="275">
        <f>IF(C90="",0,(0.5*(_ML1*LPM)+0.5*(_ML1*HB)+0.66*(P*PR)+0.66*(_ML2*RDM)+0.66*(E*ER))*VLOOKUP(BATT,'Look Ups'!$U$3:$V$4,2,0))</f>
        <v>24.42276</v>
      </c>
      <c r="BA90" s="98"/>
      <c r="BB90" s="99"/>
      <c r="BC90" s="83">
        <v>8.9700000000000006</v>
      </c>
      <c r="BD90" s="91">
        <v>2.13</v>
      </c>
      <c r="BE90" s="91">
        <v>3.01</v>
      </c>
      <c r="BF90" s="91">
        <v>0.2</v>
      </c>
      <c r="BG90" s="91">
        <v>8.15</v>
      </c>
      <c r="BH90" s="91"/>
      <c r="BI90" s="91"/>
      <c r="BJ90" s="91">
        <v>0.22</v>
      </c>
      <c r="BK90" s="91">
        <v>0.03</v>
      </c>
      <c r="BL90" s="97">
        <v>0</v>
      </c>
      <c r="BM90" s="275">
        <f>(0.5*LL*LPG)+(0.5*_LG1*HG)+(0.66*LL*LLRG)+(0.66*FG*FRG)+(IF((HG&gt;0),(0.66*_LG2*LRG),(0.66*_LG1*LRG)))</f>
        <v>11.311356000000002</v>
      </c>
      <c r="BN90" s="282"/>
      <c r="BO90" s="283"/>
      <c r="BP90" s="284"/>
      <c r="BQ90" s="284"/>
      <c r="BR90" s="283"/>
      <c r="BS90" s="284"/>
      <c r="BT90" s="284"/>
      <c r="BU90" s="280">
        <f>(0.5*LLS*LPS)+(0.66*LLS*LLRS)+(0.66*LS*LRS)+(0.66*FS*FRS)</f>
        <v>0</v>
      </c>
      <c r="BV90" s="285"/>
      <c r="BW90" s="283"/>
      <c r="BX90" s="283"/>
      <c r="BY90" s="283"/>
      <c r="BZ90" s="283"/>
      <c r="CA90" s="283"/>
      <c r="CB90" s="283"/>
      <c r="CC90" s="275">
        <f>(0.5*LLD*LPD)+(0.66*LLD*LLRD)+(0.66*LCHD*LRD)+(0.66*FD*FRD)</f>
        <v>0</v>
      </c>
      <c r="CD90" s="98">
        <v>6.77</v>
      </c>
      <c r="CE90" s="91">
        <v>10.68</v>
      </c>
      <c r="CF90" s="91">
        <v>9.86</v>
      </c>
      <c r="CG90" s="91">
        <v>5.76</v>
      </c>
      <c r="CH90" s="266">
        <f>IF(SF&gt;0,SMG/SF*100,"")</f>
        <v>85.081240768094531</v>
      </c>
      <c r="CI90" s="283"/>
      <c r="CJ90" s="280">
        <f>SF*(_SL1+_SL2)/4+(SMG-SF/2)*(_SL1+_SL2)/3</f>
        <v>51.024783333333332</v>
      </c>
      <c r="CK90" s="83"/>
      <c r="CL90" s="91"/>
      <c r="CM90" s="91"/>
      <c r="CN90" s="91"/>
      <c r="CO90" s="256" t="str">
        <f>IF(SCRF&gt;0,SCRMG/SCRF*100,"")</f>
        <v/>
      </c>
      <c r="CP90" s="283"/>
      <c r="CQ90" s="256">
        <f>SCRF*(SCRL1+SCRL2)/4+(SCRMG-SCRF/2)*(SCRL1+SCRL2)/3</f>
        <v>0</v>
      </c>
      <c r="CR90" s="256" t="str">
        <f>IF(CO90&lt;'Look Ups'!$AC$4,"Yes","No")</f>
        <v>No</v>
      </c>
      <c r="CS90" s="267">
        <f>IF(CR90="Yes",MIN(150,('Look Ups'!$AC$4-PSCR)/('Look Ups'!$AC$4-'Look Ups'!$AC$3)*100),0)</f>
        <v>0</v>
      </c>
      <c r="CT90" s="83"/>
      <c r="CU90" s="91"/>
      <c r="CV90" s="91"/>
      <c r="CW90" s="91"/>
      <c r="CX90" s="256" t="str">
        <f>IF(USCRF&gt;0,USCRMG/USCRF*100,"")</f>
        <v/>
      </c>
      <c r="CY90" s="293">
        <f>IF(PUSCR&lt;'Look Ups'!$AC$4,MIN(150,('Look Ups'!$AC$4-PUSCR)/('Look Ups'!$AC$4-'Look Ups'!$AC$3)*100),0)</f>
        <v>0</v>
      </c>
      <c r="CZ90" s="275">
        <f>IF(PUSCR&lt;'Look Ups'!$AC$4,USCRF*(USCRL1+USCRL2)/4+(USCRMG-USCRF/2)*(USCRL1+USCRL2)/3,0)</f>
        <v>0</v>
      </c>
      <c r="DA90" s="294">
        <f>IF(ZVAL=1,1,IF(LPM&gt;0,0.64*((AM+MAM)/(E+(MC/2))^2)^0.3,0))</f>
        <v>1</v>
      </c>
      <c r="DB90" s="256">
        <f>0.65*((AM+MAM)*EFM)+0.35*((AM+MAM)*ZVAL)</f>
        <v>26.093610000000002</v>
      </c>
      <c r="DC90" s="256">
        <f>IF(ZVAL=1,1,IF(LPG&gt;0,0.72*(AG/(LPG^2))^0.3,0))</f>
        <v>1</v>
      </c>
      <c r="DD90" s="256">
        <f>AG*EFG</f>
        <v>11.311356000000002</v>
      </c>
      <c r="DE90" s="256">
        <f>IF(AZ90&gt;0,'Look Ups'!$S$3,0)</f>
        <v>1</v>
      </c>
      <c r="DF90" s="256">
        <f>IF(LPS&gt;0,0.72*(AS/(LPS^2))^0.3,0)</f>
        <v>0</v>
      </c>
      <c r="DG90" s="256">
        <f>EFS*AS</f>
        <v>0</v>
      </c>
      <c r="DH90" s="256">
        <f>IF(LPD&gt;0,0.72*(AD/(LPD^2))^0.3,0)</f>
        <v>0</v>
      </c>
      <c r="DI90" s="280">
        <f>IF((AD-AG)&gt;0,0.3*(AD-AG)*EFD,0)</f>
        <v>0</v>
      </c>
      <c r="DJ90" s="295" t="str">
        <f>IF((SCRF=0),"-",IF(AND(MSASC&gt;AG,SCRMG&lt;(0.75*SCRF)),"valid","ERROR"))</f>
        <v>-</v>
      </c>
      <c r="DK90" s="266" t="str">
        <f>IF((SF=0),"-",IF((SMG&lt;(0.75*SF)),"ERROR",IF(AND(MSASP&gt;MSASC,MSASP&gt;AG,MSASP&gt;=0.36*RSAM),"valid","Small")))</f>
        <v>valid</v>
      </c>
      <c r="DL90" s="267" t="str">
        <f>IF(C90="","",CONCATENATE("MG",IF(FLSCR="valid","Scr",""),IF(FLSPI="valid","SP","")))</f>
        <v>MGSP</v>
      </c>
      <c r="DM90" s="294">
        <f>RSAM+RSAG</f>
        <v>37.404966000000002</v>
      </c>
      <c r="DN90" s="256">
        <f>IF(MSASP&gt;0,'Look Ups'!$AI$4*(ZVAL*MSASP-RSAG),0)</f>
        <v>11.914028199999999</v>
      </c>
      <c r="DO90" s="256">
        <f>IF(AND(MSASC&gt;0,(MSASC&gt;=0.36*RSAM)),('Look Ups'!$AI$3*(ZVAL*MSASC-RSAG)),(0))</f>
        <v>0</v>
      </c>
      <c r="DP90" s="256">
        <f>IF(MSASP&gt;0,'Look Ups'!$AI$5*(ZVAL*MSASP-RSAG),0)</f>
        <v>11.119759653333332</v>
      </c>
      <c r="DQ90" s="256">
        <f>IF(MSASC&gt;0,'Look Ups'!$AI$6*(MSASC-RSAG),0)</f>
        <v>0</v>
      </c>
      <c r="DR90" s="280">
        <f>'Look Ups'!$AI$7*MAX(IF(MSAUSC&gt;0,EUSC/100*(MSAUSC-RSAG),0),IF(CR90="Yes",ELSC/100*(MSASC-RSAG),0))</f>
        <v>0</v>
      </c>
      <c r="DS90" s="280">
        <f>0.36*RSAM</f>
        <v>9.3936995999999997</v>
      </c>
      <c r="DT90" s="296">
        <f>_xlfn.IFS(SPC="MG",RAMG+DS90,SPC="MGScr",RAMG+RASCO,SPC="MGSp",RAMG+RASPO,SPC="MGScrSp",RAMG+RASPSC+RASCR)+RAUSC+RSAST+RSAD+RSAMZ+RSA2M</f>
        <v>49.318994199999999</v>
      </c>
      <c r="DU90" s="63"/>
    </row>
    <row r="91" spans="1:125" ht="15.6" customHeight="1" x14ac:dyDescent="0.3">
      <c r="A91" s="4"/>
      <c r="B91" s="84"/>
      <c r="C91" s="64" t="s">
        <v>399</v>
      </c>
      <c r="D91" s="85" t="s">
        <v>189</v>
      </c>
      <c r="E91" s="86" t="s">
        <v>400</v>
      </c>
      <c r="F91" s="252">
        <f ca="1">IF(RW=0,0,ROUND(DLF*0.93*RL^LF*RSA^0.4/RW^0.325,3))</f>
        <v>0.84499999999999997</v>
      </c>
      <c r="G91" s="252" t="str">
        <f ca="1">IF(OR(FLSCR="ERROR",FLSPI="ERROR"),"No",IF(TODAY()-'Look Ups'!$D$4*365&gt;I91,"WP Applied","Yes"))</f>
        <v>Yes</v>
      </c>
      <c r="H91" s="253" t="str">
        <f>IF(SPC="","",CONCATENATE("Main-Genoa",IF(FLSCR="valid",IF(OR(CR91="Yes",MSAUSC&gt;0),"-Screacher (Upwind)","-Screacher"),""),IF(FLSPI="valid","-Spinnaker",""),IF(RSAMZ&gt;0,"-Mizzen",""),IF(RSA2M&gt;0,"-Second Main",""),IF(AS&gt;0,"-Staysail",""),IF(AD&gt;0,"-Drifter","")))</f>
        <v>Main-Genoa-Spinnaker</v>
      </c>
      <c r="I91" s="1">
        <v>44903</v>
      </c>
      <c r="J91" s="1">
        <v>44941</v>
      </c>
      <c r="K91" s="87" t="s">
        <v>142</v>
      </c>
      <c r="L91" s="87" t="s">
        <v>245</v>
      </c>
      <c r="M91" s="207"/>
      <c r="N91" s="97" t="s">
        <v>165</v>
      </c>
      <c r="O91" s="97" t="s">
        <v>189</v>
      </c>
      <c r="P91" s="102"/>
      <c r="Q91" s="90">
        <v>8.1</v>
      </c>
      <c r="R91" s="87"/>
      <c r="S91" s="256">
        <f>IF((LOAA&gt;LOA),0.025*LOAA,0.025*LOA)</f>
        <v>0.20250000000000001</v>
      </c>
      <c r="T91" s="91">
        <v>0.15</v>
      </c>
      <c r="U91" s="91"/>
      <c r="V91" s="258">
        <f>IF((_xlfn.SINGLE(LOAA)&gt;_xlfn.SINGLE(LOA)),_xlfn.SINGLE(LOAA),_xlfn.SINGLE(LOA)-_xlfn.SINGLE(FOC)-_xlfn.SINGLE(AOC))</f>
        <v>7.9499999999999993</v>
      </c>
      <c r="W91" s="259">
        <f>IF(RL&gt;0,IF(RL&gt;'Look Ups'!Y$7,'Look Ups'!Y$8,('Look Ups'!Y$3*RL^3+'Look Ups'!Y$4*RL^2+'Look Ups'!Y$5*RL+'Look Ups'!Y$6)),0)</f>
        <v>0.29362267587500002</v>
      </c>
      <c r="X91" s="92">
        <v>1294</v>
      </c>
      <c r="Y91" s="262">
        <f ca="1">IF(WDATE&lt;(TODAY()-'Look Ups'!$D$4*365),-WM*'Look Ups'!$D$5/100,0)</f>
        <v>0</v>
      </c>
      <c r="Z91" s="93"/>
      <c r="AA91" s="93"/>
      <c r="AB91" s="75"/>
      <c r="AC91" s="265">
        <f>WCD+NC*'Look Ups'!$AF$3</f>
        <v>0</v>
      </c>
      <c r="AD91" s="265">
        <f ca="1">IF(RL&lt;'Look Ups'!AM$3,'Look Ups'!AM$4,IF(RL&gt;'Look Ups'!AM$5,'Look Ups'!AM$6,(RL-'Look Ups'!AM$3)/('Look Ups'!AM$5-'Look Ups'!AM$3)*('Look Ups'!AM$6-'Look Ups'!AM$4)+'Look Ups'!AM$4))/100*WS</f>
        <v>329.38181818181823</v>
      </c>
      <c r="AE91" s="266">
        <f ca="1">WM+WP+WE</f>
        <v>1294</v>
      </c>
      <c r="AF91" s="267">
        <f ca="1">_xlfn.SINGLE(WS)+IF(_xlfn.SINGLE(TCW)&gt;=_xlfn.SINGLE(CWA),_xlfn.SINGLE(CWA),_xlfn.SINGLE(TCW))</f>
        <v>1294</v>
      </c>
      <c r="AG91" s="94" t="s">
        <v>145</v>
      </c>
      <c r="AH91" s="95" t="s">
        <v>146</v>
      </c>
      <c r="AI91" s="96" t="s">
        <v>147</v>
      </c>
      <c r="AJ91" s="218"/>
      <c r="AK91" s="273">
        <f>IF(C91="",0,VLOOKUP(AG91,'Look Ups'!$F$3:$G$6,2,0)*VLOOKUP(AH91,'Look Ups'!$I$3:$J$5,2,0)*VLOOKUP(AI91,'Look Ups'!$L$3:$M$7,2,0)*IF(AJ91="",1,VLOOKUP(AJ91,'Look Ups'!$O$3:$P$4,2,0)))</f>
        <v>1</v>
      </c>
      <c r="AL91" s="83">
        <v>11.15</v>
      </c>
      <c r="AM91" s="91">
        <v>10.09</v>
      </c>
      <c r="AN91" s="91">
        <v>3.25</v>
      </c>
      <c r="AO91" s="91">
        <v>1.3</v>
      </c>
      <c r="AP91" s="91">
        <v>0.39</v>
      </c>
      <c r="AQ91" s="91">
        <v>11.1</v>
      </c>
      <c r="AR91" s="91">
        <v>0.18</v>
      </c>
      <c r="AS91" s="91">
        <v>3.28</v>
      </c>
      <c r="AT91" s="91">
        <v>0</v>
      </c>
      <c r="AU91" s="91">
        <v>0.5</v>
      </c>
      <c r="AV91" s="91" t="s">
        <v>148</v>
      </c>
      <c r="AW91" s="97"/>
      <c r="AX91" s="256">
        <f>P+ER</f>
        <v>11.1</v>
      </c>
      <c r="AY91" s="256">
        <f>P*0.375*MC</f>
        <v>2.0812499999999998</v>
      </c>
      <c r="AZ91" s="275">
        <f>IF(C91="",0,(0.5*(_ML1*LPM)+0.5*(_ML1*HB)+0.66*(P*PR)+0.66*(_ML2*RDM)+0.66*(E*ER))*VLOOKUP(BATT,'Look Ups'!$U$3:$V$4,2,0))</f>
        <v>29.282096000000003</v>
      </c>
      <c r="BA91" s="98"/>
      <c r="BB91" s="99"/>
      <c r="BC91" s="83">
        <v>8.1999999999999993</v>
      </c>
      <c r="BD91" s="91">
        <v>2.71</v>
      </c>
      <c r="BE91" s="91">
        <v>2.8</v>
      </c>
      <c r="BF91" s="91">
        <v>0</v>
      </c>
      <c r="BG91" s="91">
        <v>7.85</v>
      </c>
      <c r="BH91" s="91">
        <v>7.81</v>
      </c>
      <c r="BI91" s="91">
        <v>0.35</v>
      </c>
      <c r="BJ91" s="91">
        <v>0</v>
      </c>
      <c r="BK91" s="91">
        <v>0</v>
      </c>
      <c r="BL91" s="97"/>
      <c r="BM91" s="275">
        <f>(0.5*LL*LPG)+(0.5*_LG1*HG)+(0.66*LL*LLRG)+(0.66*FG*FRG)+(IF((HG&gt;0),(0.66*_LG2*LRG),(0.66*_LG1*LRG)))</f>
        <v>12.484749999999998</v>
      </c>
      <c r="BN91" s="282"/>
      <c r="BO91" s="283"/>
      <c r="BP91" s="284"/>
      <c r="BQ91" s="284"/>
      <c r="BR91" s="283"/>
      <c r="BS91" s="284"/>
      <c r="BT91" s="284"/>
      <c r="BU91" s="280">
        <f>(0.5*LLS*LPS)+(0.66*LLS*LLRS)+(0.66*LS*LRS)+(0.66*FS*FRS)</f>
        <v>0</v>
      </c>
      <c r="BV91" s="285"/>
      <c r="BW91" s="283"/>
      <c r="BX91" s="283"/>
      <c r="BY91" s="283"/>
      <c r="BZ91" s="283"/>
      <c r="CA91" s="283"/>
      <c r="CB91" s="283"/>
      <c r="CC91" s="275">
        <f>(0.5*LLD*LPD)+(0.66*LLD*LLRD)+(0.66*LCHD*LRD)+(0.66*FD*FRD)</f>
        <v>0</v>
      </c>
      <c r="CD91" s="98">
        <v>7.55</v>
      </c>
      <c r="CE91" s="91">
        <v>12.03</v>
      </c>
      <c r="CF91" s="91">
        <v>10.07</v>
      </c>
      <c r="CG91" s="91">
        <v>6.19</v>
      </c>
      <c r="CH91" s="266">
        <f>IF(SF&gt;0,SMG/SF*100,"")</f>
        <v>81.986754966887418</v>
      </c>
      <c r="CI91" s="283"/>
      <c r="CJ91" s="280">
        <f>SF*(_SL1+_SL2)/4+(SMG-SF/2)*(_SL1+_SL2)/3</f>
        <v>59.504250000000013</v>
      </c>
      <c r="CK91" s="83"/>
      <c r="CL91" s="91"/>
      <c r="CM91" s="91"/>
      <c r="CN91" s="91"/>
      <c r="CO91" s="256" t="str">
        <f>IF(SCRF&gt;0,SCRMG/SCRF*100,"")</f>
        <v/>
      </c>
      <c r="CP91" s="286"/>
      <c r="CQ91" s="256">
        <f>SCRF*(SCRL1+SCRL2)/4+(SCRMG-SCRF/2)*(SCRL1+SCRL2)/3</f>
        <v>0</v>
      </c>
      <c r="CR91" s="256" t="str">
        <f>IF(CO91&lt;'Look Ups'!$AC$4,"Yes","No")</f>
        <v>No</v>
      </c>
      <c r="CS91" s="267">
        <f>IF(CR91="Yes",MIN(150,('Look Ups'!$AC$4-PSCR)/('Look Ups'!$AC$4-'Look Ups'!$AC$3)*100),0)</f>
        <v>0</v>
      </c>
      <c r="CT91" s="83"/>
      <c r="CU91" s="91"/>
      <c r="CV91" s="91"/>
      <c r="CW91" s="91"/>
      <c r="CX91" s="256" t="str">
        <f>IF(USCRF&gt;0,USCRMG/USCRF*100,"")</f>
        <v/>
      </c>
      <c r="CY91" s="293">
        <f>IF(PUSCR&lt;'Look Ups'!$AC$4,MIN(150,('Look Ups'!$AC$4-PUSCR)/('Look Ups'!$AC$4-'Look Ups'!$AC$3)*100),0)</f>
        <v>0</v>
      </c>
      <c r="CZ91" s="275">
        <f>IF(PUSCR&lt;'Look Ups'!$AC$4,USCRF*(USCRL1+USCRL2)/4+(USCRMG-USCRF/2)*(USCRL1+USCRL2)/3,0)</f>
        <v>0</v>
      </c>
      <c r="DA91" s="294">
        <f>IF(ZVAL=1,1,IF(LPM&gt;0,0.64*((AM+MAM)/(E+(MC/2))^2)^0.3,0))</f>
        <v>1</v>
      </c>
      <c r="DB91" s="256">
        <f>0.65*((AM+MAM)*EFM)+0.35*((AM+MAM)*ZVAL)</f>
        <v>31.363346000000007</v>
      </c>
      <c r="DC91" s="256">
        <f>IF(ZVAL=1,1,IF(LPG&gt;0,0.72*(AG/(LPG^2))^0.3,0))</f>
        <v>1</v>
      </c>
      <c r="DD91" s="256">
        <f>AG*EFG</f>
        <v>12.484749999999998</v>
      </c>
      <c r="DE91" s="256">
        <f>IF(AZ91&gt;0,'Look Ups'!$S$3,0)</f>
        <v>1</v>
      </c>
      <c r="DF91" s="256">
        <f>IF(LPS&gt;0,0.72*(AS/(LPS^2))^0.3,0)</f>
        <v>0</v>
      </c>
      <c r="DG91" s="256">
        <f>EFS*AS</f>
        <v>0</v>
      </c>
      <c r="DH91" s="256">
        <f>IF(LPD&gt;0,0.72*(AD/(LPD^2))^0.3,0)</f>
        <v>0</v>
      </c>
      <c r="DI91" s="280">
        <f>IF((AD-AG)&gt;0,0.3*(AD-AG)*EFD,0)</f>
        <v>0</v>
      </c>
      <c r="DJ91" s="295" t="str">
        <f>IF((SCRF=0),"-",IF(AND(MSASC&gt;AG,SCRMG&lt;(0.75*SCRF)),"valid","ERROR"))</f>
        <v>-</v>
      </c>
      <c r="DK91" s="266" t="str">
        <f>IF((SF=0),"-",IF((SMG&lt;(0.75*SF)),"ERROR",IF(AND(MSASP&gt;MSASC,MSASP&gt;AG,MSASP&gt;=0.36*RSAM),"valid","Small")))</f>
        <v>valid</v>
      </c>
      <c r="DL91" s="267" t="str">
        <f>IF(C91="","",CONCATENATE("MG",IF(FLSCR="valid","Scr",""),IF(FLSPI="valid","SP","")))</f>
        <v>MGSP</v>
      </c>
      <c r="DM91" s="294">
        <f>RSAM+RSAG</f>
        <v>43.848096000000005</v>
      </c>
      <c r="DN91" s="256">
        <f>IF(MSASP&gt;0,'Look Ups'!$AI$4*(ZVAL*MSASP-RSAG),0)</f>
        <v>14.105850000000004</v>
      </c>
      <c r="DO91" s="256">
        <f>IF(AND(MSASC&gt;0,(MSASC&gt;=0.36*RSAM)),('Look Ups'!$AI$3*(ZVAL*MSASC-RSAG)),(0))</f>
        <v>0</v>
      </c>
      <c r="DP91" s="256">
        <f>IF(MSASP&gt;0,'Look Ups'!$AI$5*(ZVAL*MSASP-RSAG),0)</f>
        <v>13.165460000000005</v>
      </c>
      <c r="DQ91" s="256">
        <f>IF(MSASC&gt;0,'Look Ups'!$AI$6*(MSASC-RSAG),0)</f>
        <v>0</v>
      </c>
      <c r="DR91" s="280">
        <f>'Look Ups'!$AI$7*MAX(IF(MSAUSC&gt;0,EUSC/100*(MSAUSC-RSAG),0),IF(CR91="Yes",ELSC/100*(MSASC-RSAG),0))</f>
        <v>0</v>
      </c>
      <c r="DS91" s="280">
        <f>0.36*RSAM</f>
        <v>11.290804560000002</v>
      </c>
      <c r="DT91" s="296">
        <f>_xlfn.IFS(SPC="MG",RAMG+DS91,SPC="MGScr",RAMG+RASCO,SPC="MGSp",RAMG+RASPO,SPC="MGScrSp",RAMG+RASPSC+RASCR)+RAUSC+RSAST+RSAD+RSAMZ+RSA2M</f>
        <v>57.953946000000009</v>
      </c>
      <c r="DU91" s="14"/>
    </row>
    <row r="92" spans="1:125" ht="15.6" customHeight="1" x14ac:dyDescent="0.3">
      <c r="A92" s="4"/>
      <c r="B92" s="64"/>
      <c r="C92" s="64" t="s">
        <v>401</v>
      </c>
      <c r="D92" s="85" t="s">
        <v>402</v>
      </c>
      <c r="E92" s="86" t="s">
        <v>403</v>
      </c>
      <c r="F92" s="252">
        <f ca="1">IF(RW=0,0,ROUND(DLF*0.93*RL^LF*RSA^0.4/RW^0.325,3))</f>
        <v>0.8</v>
      </c>
      <c r="G92" s="252" t="str">
        <f ca="1">IF(OR(FLSCR="ERROR",FLSPI="ERROR"),"No",IF(TODAY()-'Look Ups'!$D$4*365&gt;I92,"WP Applied","Yes"))</f>
        <v>WP Applied</v>
      </c>
      <c r="H92" s="253" t="str">
        <f>IF(SPC="","",CONCATENATE("Main-Genoa",IF(FLSCR="valid",IF(OR(CR92="Yes",MSAUSC&gt;0),"-Screacher (Upwind)","-Screacher"),""),IF(FLSPI="valid","-Spinnaker",""),IF(RSAMZ&gt;0,"-Mizzen",""),IF(RSA2M&gt;0,"-Second Main",""),IF(AS&gt;0,"-Staysail",""),IF(AD&gt;0,"-Drifter","")))</f>
        <v>Main-Genoa-Spinnaker</v>
      </c>
      <c r="I92" s="108">
        <v>39739</v>
      </c>
      <c r="J92" s="1">
        <v>39748</v>
      </c>
      <c r="K92" s="87" t="s">
        <v>218</v>
      </c>
      <c r="L92" s="87" t="s">
        <v>241</v>
      </c>
      <c r="M92" s="209"/>
      <c r="N92" s="88" t="s">
        <v>143</v>
      </c>
      <c r="O92" s="88" t="s">
        <v>144</v>
      </c>
      <c r="P92" s="100"/>
      <c r="Q92" s="90">
        <v>7.85</v>
      </c>
      <c r="R92" s="87"/>
      <c r="S92" s="256">
        <f>IF((LOAA&gt;LOA),0.025*LOAA,0.025*LOA)</f>
        <v>0.19625000000000001</v>
      </c>
      <c r="T92" s="91">
        <v>0.19</v>
      </c>
      <c r="U92" s="91"/>
      <c r="V92" s="258">
        <f>IF((_xlfn.SINGLE(LOAA)&gt;_xlfn.SINGLE(LOA)),_xlfn.SINGLE(LOAA),_xlfn.SINGLE(LOA)-_xlfn.SINGLE(FOC)-_xlfn.SINGLE(AOC))</f>
        <v>7.6599999999999993</v>
      </c>
      <c r="W92" s="259">
        <f>IF(RL&gt;0,IF(RL&gt;'Look Ups'!Y$7,'Look Ups'!Y$8,('Look Ups'!Y$3*RL^3+'Look Ups'!Y$4*RL^2+'Look Ups'!Y$5*RL+'Look Ups'!Y$6)),0)</f>
        <v>0.292556178168</v>
      </c>
      <c r="X92" s="92">
        <v>1444.4444444444446</v>
      </c>
      <c r="Y92" s="262">
        <f ca="1">IF(WDATE&lt;(TODAY()-'Look Ups'!$D$4*365),-WM*'Look Ups'!$D$5/100,0)</f>
        <v>-216.66666666666669</v>
      </c>
      <c r="Z92" s="93"/>
      <c r="AA92" s="225"/>
      <c r="AB92" s="231"/>
      <c r="AC92" s="270">
        <f>WCD+NC*'Look Ups'!$AF$3</f>
        <v>0</v>
      </c>
      <c r="AD92" s="265">
        <f ca="1">IF(RL&lt;'Look Ups'!AM$3,'Look Ups'!AM$4,IF(RL&gt;'Look Ups'!AM$5,'Look Ups'!AM$6,(RL-'Look Ups'!AM$3)/('Look Ups'!AM$5-'Look Ups'!AM$3)*('Look Ups'!AM$6-'Look Ups'!AM$4)+'Look Ups'!AM$4))/100*WS</f>
        <v>325.4727272727273</v>
      </c>
      <c r="AE92" s="266">
        <f ca="1">WM+WP+WE</f>
        <v>1227.7777777777778</v>
      </c>
      <c r="AF92" s="267">
        <f ca="1">_xlfn.SINGLE(WS)+IF(_xlfn.SINGLE(TCW)&gt;=_xlfn.SINGLE(CWA),_xlfn.SINGLE(CWA),_xlfn.SINGLE(TCW))</f>
        <v>1227.7777777777778</v>
      </c>
      <c r="AG92" s="94" t="s">
        <v>155</v>
      </c>
      <c r="AH92" s="95" t="s">
        <v>146</v>
      </c>
      <c r="AI92" s="96" t="s">
        <v>147</v>
      </c>
      <c r="AJ92" s="218"/>
      <c r="AK92" s="273">
        <f>IF(C92="",0,VLOOKUP(AG92,'Look Ups'!$F$3:$G$6,2,0)*VLOOKUP(AH92,'Look Ups'!$I$3:$J$5,2,0)*VLOOKUP(AI92,'Look Ups'!$L$3:$M$7,2,0)*IF(AJ92="",1,VLOOKUP(AJ92,'Look Ups'!$O$3:$P$4,2,0)))</f>
        <v>0.99</v>
      </c>
      <c r="AL92" s="83">
        <v>9.7799999999999994</v>
      </c>
      <c r="AM92" s="91">
        <v>9.5250000000000004</v>
      </c>
      <c r="AN92" s="91">
        <v>3.17</v>
      </c>
      <c r="AO92" s="91">
        <v>1.03</v>
      </c>
      <c r="AP92" s="91">
        <v>0.45</v>
      </c>
      <c r="AQ92" s="91">
        <v>9.64</v>
      </c>
      <c r="AR92" s="91">
        <v>0.09</v>
      </c>
      <c r="AS92" s="91">
        <v>3.25</v>
      </c>
      <c r="AT92" s="91">
        <v>0.03</v>
      </c>
      <c r="AU92" s="91">
        <v>0.49</v>
      </c>
      <c r="AV92" s="91" t="s">
        <v>148</v>
      </c>
      <c r="AW92" s="97"/>
      <c r="AX92" s="256">
        <f>P+ER</f>
        <v>9.67</v>
      </c>
      <c r="AY92" s="256">
        <f>P*0.375*MC</f>
        <v>1.77135</v>
      </c>
      <c r="AZ92" s="275">
        <f>IF(C92="",0,(0.5*(_ML1*LPM)+0.5*(_ML1*HB)+0.66*(P*PR)+0.66*(_ML2*RDM)+0.66*(E*ER))*VLOOKUP(BATT,'Look Ups'!$U$3:$V$4,2,0))</f>
        <v>24.003890999999999</v>
      </c>
      <c r="BA92" s="98"/>
      <c r="BB92" s="99"/>
      <c r="BC92" s="83">
        <v>9.1999999999999993</v>
      </c>
      <c r="BD92" s="91">
        <v>2.83</v>
      </c>
      <c r="BE92" s="91">
        <v>3.21</v>
      </c>
      <c r="BF92" s="91">
        <v>0.10300000000000001</v>
      </c>
      <c r="BG92" s="91">
        <v>8.15</v>
      </c>
      <c r="BH92" s="91"/>
      <c r="BI92" s="91"/>
      <c r="BJ92" s="91">
        <v>0.04</v>
      </c>
      <c r="BK92" s="91">
        <v>0</v>
      </c>
      <c r="BL92" s="97"/>
      <c r="BM92" s="275">
        <f>(0.5*LL*LPG)+(0.5*_LG1*HG)+(0.66*LL*LLRG)+(0.66*FG*FRG)+(IF((HG&gt;0),(0.66*_LG2*LRG),(0.66*_LG1*LRG)))</f>
        <v>13.451375799999997</v>
      </c>
      <c r="BN92" s="282"/>
      <c r="BO92" s="283"/>
      <c r="BP92" s="284"/>
      <c r="BQ92" s="284"/>
      <c r="BR92" s="283"/>
      <c r="BS92" s="284"/>
      <c r="BT92" s="284"/>
      <c r="BU92" s="280">
        <f>(0.5*LLS*LPS)+(0.66*LLS*LLRS)+(0.66*LS*LRS)+(0.66*FS*FRS)</f>
        <v>0</v>
      </c>
      <c r="BV92" s="285"/>
      <c r="BW92" s="283"/>
      <c r="BX92" s="283"/>
      <c r="BY92" s="283"/>
      <c r="BZ92" s="283"/>
      <c r="CA92" s="283"/>
      <c r="CB92" s="283"/>
      <c r="CC92" s="275">
        <f>(0.5*LLD*LPD)+(0.66*LLD*LLRD)+(0.66*LCHD*LRD)+(0.66*FD*FRD)</f>
        <v>0</v>
      </c>
      <c r="CD92" s="98">
        <v>6.76</v>
      </c>
      <c r="CE92" s="91">
        <v>11.26</v>
      </c>
      <c r="CF92" s="91">
        <v>9.3800000000000008</v>
      </c>
      <c r="CG92" s="91">
        <v>6.13</v>
      </c>
      <c r="CH92" s="266">
        <f>IF(SF&gt;0,SMG/SF*100,"")</f>
        <v>90.680473372781066</v>
      </c>
      <c r="CI92" s="283"/>
      <c r="CJ92" s="280">
        <f>SF*(_SL1+_SL2)/4+(SMG-SF/2)*(_SL1+_SL2)/3</f>
        <v>53.801600000000001</v>
      </c>
      <c r="CK92" s="83"/>
      <c r="CL92" s="91"/>
      <c r="CM92" s="91"/>
      <c r="CN92" s="91"/>
      <c r="CO92" s="256" t="str">
        <f>IF(SCRF&gt;0,SCRMG/SCRF*100,"")</f>
        <v/>
      </c>
      <c r="CP92" s="283"/>
      <c r="CQ92" s="256">
        <f>SCRF*(SCRL1+SCRL2)/4+(SCRMG-SCRF/2)*(SCRL1+SCRL2)/3</f>
        <v>0</v>
      </c>
      <c r="CR92" s="256" t="str">
        <f>IF(CO92&lt;'Look Ups'!$AC$4,"Yes","No")</f>
        <v>No</v>
      </c>
      <c r="CS92" s="267">
        <f>IF(CR92="Yes",MIN(150,('Look Ups'!$AC$4-PSCR)/('Look Ups'!$AC$4-'Look Ups'!$AC$3)*100),0)</f>
        <v>0</v>
      </c>
      <c r="CT92" s="83"/>
      <c r="CU92" s="91"/>
      <c r="CV92" s="91"/>
      <c r="CW92" s="91"/>
      <c r="CX92" s="256" t="str">
        <f>IF(USCRF&gt;0,USCRMG/USCRF*100,"")</f>
        <v/>
      </c>
      <c r="CY92" s="293">
        <f>IF(PUSCR&lt;'Look Ups'!$AC$4,MIN(150,('Look Ups'!$AC$4-PUSCR)/('Look Ups'!$AC$4-'Look Ups'!$AC$3)*100),0)</f>
        <v>0</v>
      </c>
      <c r="CZ92" s="275">
        <f>IF(PUSCR&lt;'Look Ups'!$AC$4,USCRF*(USCRL1+USCRL2)/4+(USCRMG-USCRF/2)*(USCRL1+USCRL2)/3,0)</f>
        <v>0</v>
      </c>
      <c r="DA92" s="294">
        <f>IF(ZVAL=1,1,IF(LPM&gt;0,0.64*((AM+MAM)/(E+(MC/2))^2)^0.3,0))</f>
        <v>1</v>
      </c>
      <c r="DB92" s="256">
        <f>0.65*((AM+MAM)*EFM)+0.35*((AM+MAM)*ZVAL)</f>
        <v>25.775241000000001</v>
      </c>
      <c r="DC92" s="256">
        <f>IF(ZVAL=1,1,IF(LPG&gt;0,0.72*(AG/(LPG^2))^0.3,0))</f>
        <v>1</v>
      </c>
      <c r="DD92" s="256">
        <f>AG*EFG</f>
        <v>13.451375799999997</v>
      </c>
      <c r="DE92" s="256">
        <f>IF(AZ92&gt;0,'Look Ups'!$S$3,0)</f>
        <v>1</v>
      </c>
      <c r="DF92" s="256">
        <f>IF(LPS&gt;0,0.72*(AS/(LPS^2))^0.3,0)</f>
        <v>0</v>
      </c>
      <c r="DG92" s="256">
        <f>EFS*AS</f>
        <v>0</v>
      </c>
      <c r="DH92" s="256">
        <f>IF(LPD&gt;0,0.72*(AD/(LPD^2))^0.3,0)</f>
        <v>0</v>
      </c>
      <c r="DI92" s="280">
        <f>IF((AD-AG)&gt;0,0.3*(AD-AG)*EFD,0)</f>
        <v>0</v>
      </c>
      <c r="DJ92" s="295" t="str">
        <f>IF((SCRF=0),"-",IF(AND(MSASC&gt;AG,SCRMG&lt;(0.75*SCRF)),"valid","ERROR"))</f>
        <v>-</v>
      </c>
      <c r="DK92" s="266" t="str">
        <f>IF((SF=0),"-",IF((SMG&lt;(0.75*SF)),"ERROR",IF(AND(MSASP&gt;MSASC,MSASP&gt;AG,MSASP&gt;=0.36*RSAM),"valid","Small")))</f>
        <v>valid</v>
      </c>
      <c r="DL92" s="267" t="str">
        <f>IF(C92="","",CONCATENATE("MG",IF(FLSCR="valid","Scr",""),IF(FLSPI="valid","SP","")))</f>
        <v>MGSP</v>
      </c>
      <c r="DM92" s="294">
        <f>RSAM+RSAG</f>
        <v>39.226616800000002</v>
      </c>
      <c r="DN92" s="256">
        <f>IF(MSASP&gt;0,'Look Ups'!$AI$4*(ZVAL*MSASP-RSAG),0)</f>
        <v>12.10506726</v>
      </c>
      <c r="DO92" s="256">
        <f>IF(AND(MSASC&gt;0,(MSASC&gt;=0.36*RSAM)),('Look Ups'!$AI$3*(ZVAL*MSASC-RSAG)),(0))</f>
        <v>0</v>
      </c>
      <c r="DP92" s="256">
        <f>IF(MSASP&gt;0,'Look Ups'!$AI$5*(ZVAL*MSASP-RSAG),0)</f>
        <v>11.298062776</v>
      </c>
      <c r="DQ92" s="256">
        <f>IF(MSASC&gt;0,'Look Ups'!$AI$6*(MSASC-RSAG),0)</f>
        <v>0</v>
      </c>
      <c r="DR92" s="280">
        <f>'Look Ups'!$AI$7*MAX(IF(MSAUSC&gt;0,EUSC/100*(MSAUSC-RSAG),0),IF(CR92="Yes",ELSC/100*(MSASC-RSAG),0))</f>
        <v>0</v>
      </c>
      <c r="DS92" s="280">
        <f>0.36*RSAM</f>
        <v>9.2790867600000002</v>
      </c>
      <c r="DT92" s="296">
        <f>_xlfn.IFS(SPC="MG",RAMG+DS92,SPC="MGScr",RAMG+RASCO,SPC="MGSp",RAMG+RASPO,SPC="MGScrSp",RAMG+RASPSC+RASCR)+RAUSC+RSAST+RSAD+RSAMZ+RSA2M</f>
        <v>51.331684060000001</v>
      </c>
      <c r="DU92" s="63"/>
    </row>
    <row r="93" spans="1:125" ht="15.6" customHeight="1" x14ac:dyDescent="0.3">
      <c r="A93" s="4"/>
      <c r="B93" s="64"/>
      <c r="C93" s="64" t="s">
        <v>404</v>
      </c>
      <c r="D93" s="101" t="s">
        <v>405</v>
      </c>
      <c r="E93" s="86" t="s">
        <v>406</v>
      </c>
      <c r="F93" s="252">
        <f ca="1">IF(RW=0,0,ROUND(DLF*0.93*RL^LF*RSA^0.4/RW^0.325,3))</f>
        <v>0.73299999999999998</v>
      </c>
      <c r="G93" s="252" t="str">
        <f ca="1">IF(OR(FLSCR="ERROR",FLSPI="ERROR"),"No",IF(TODAY()-'Look Ups'!$D$4*365&gt;I93,"WP Applied","Yes"))</f>
        <v>Yes</v>
      </c>
      <c r="H93" s="253" t="str">
        <f>IF(SPC="","",CONCATENATE("Main-Genoa",IF(FLSCR="valid",IF(OR(CR93="Yes",MSAUSC&gt;0),"-Screacher (Upwind)","-Screacher"),""),IF(FLSPI="valid","-Spinnaker",""),IF(RSAMZ&gt;0,"-Mizzen",""),IF(RSA2M&gt;0,"-Second Main",""),IF(AS&gt;0,"-Staysail",""),IF(AD&gt;0,"-Drifter","")))</f>
        <v>Main-Genoa-Spinnaker</v>
      </c>
      <c r="I93" s="1">
        <v>42667</v>
      </c>
      <c r="J93" s="1">
        <v>42671</v>
      </c>
      <c r="K93" s="232" t="s">
        <v>325</v>
      </c>
      <c r="L93" s="87" t="s">
        <v>142</v>
      </c>
      <c r="M93" s="207"/>
      <c r="N93" s="88" t="s">
        <v>165</v>
      </c>
      <c r="O93" s="88"/>
      <c r="P93" s="102"/>
      <c r="Q93" s="90">
        <v>14.36</v>
      </c>
      <c r="R93" s="87"/>
      <c r="S93" s="256">
        <f>IF((LOAA&gt;LOA),0.025*LOAA,0.025*LOA)</f>
        <v>0.35899999999999999</v>
      </c>
      <c r="T93" s="91">
        <v>0.1</v>
      </c>
      <c r="U93" s="91">
        <v>0</v>
      </c>
      <c r="V93" s="258">
        <f>IF((_xlfn.SINGLE(LOAA)&gt;_xlfn.SINGLE(LOA)),_xlfn.SINGLE(LOAA),_xlfn.SINGLE(LOA)-_xlfn.SINGLE(FOC)-_xlfn.SINGLE(AOC))</f>
        <v>14.26</v>
      </c>
      <c r="W93" s="259">
        <f>IF(RL&gt;0,IF(RL&gt;'Look Ups'!Y$7,'Look Ups'!Y$8,('Look Ups'!Y$3*RL^3+'Look Ups'!Y$4*RL^2+'Look Ups'!Y$5*RL+'Look Ups'!Y$6)),0)</f>
        <v>0.3</v>
      </c>
      <c r="X93" s="92">
        <v>10382</v>
      </c>
      <c r="Y93" s="262">
        <f ca="1">IF(WDATE&lt;(TODAY()-'Look Ups'!$D$4*365),-WM*'Look Ups'!$D$5/100,0)</f>
        <v>0</v>
      </c>
      <c r="Z93" s="93"/>
      <c r="AA93" s="93"/>
      <c r="AB93" s="75"/>
      <c r="AC93" s="265">
        <f>WCD+NC*'Look Ups'!$AF$3</f>
        <v>0</v>
      </c>
      <c r="AD93" s="265">
        <f ca="1">IF(RL&lt;'Look Ups'!AM$3,'Look Ups'!AM$4,IF(RL&gt;'Look Ups'!AM$5,'Look Ups'!AM$6,(RL-'Look Ups'!AM$3)/('Look Ups'!AM$5-'Look Ups'!AM$3)*('Look Ups'!AM$6-'Look Ups'!AM$4)+'Look Ups'!AM$4))/100*WS</f>
        <v>1038.2</v>
      </c>
      <c r="AE93" s="266">
        <f ca="1">WM+WP+WE</f>
        <v>10382</v>
      </c>
      <c r="AF93" s="267">
        <f ca="1">_xlfn.SINGLE(WS)+IF(_xlfn.SINGLE(TCW)&gt;=_xlfn.SINGLE(CWA),_xlfn.SINGLE(CWA),_xlfn.SINGLE(TCW))</f>
        <v>10382</v>
      </c>
      <c r="AG93" s="94" t="s">
        <v>145</v>
      </c>
      <c r="AH93" s="95" t="s">
        <v>146</v>
      </c>
      <c r="AI93" s="96" t="s">
        <v>177</v>
      </c>
      <c r="AJ93" s="218"/>
      <c r="AK93" s="273">
        <f>IF(C93="",0,VLOOKUP(AG93,'Look Ups'!$F$3:$G$6,2,0)*VLOOKUP(AH93,'Look Ups'!$I$3:$J$5,2,0)*VLOOKUP(AI93,'Look Ups'!$L$3:$M$7,2,0)*IF(AJ93="",1,VLOOKUP(AJ93,'Look Ups'!$O$3:$P$4,2,0)))</f>
        <v>0.99</v>
      </c>
      <c r="AL93" s="83">
        <v>17.36</v>
      </c>
      <c r="AM93" s="91">
        <v>17.03</v>
      </c>
      <c r="AN93" s="91">
        <v>5.43</v>
      </c>
      <c r="AO93" s="91">
        <v>1.44</v>
      </c>
      <c r="AP93" s="91">
        <v>0.38</v>
      </c>
      <c r="AQ93" s="91">
        <v>16.43</v>
      </c>
      <c r="AR93" s="91">
        <v>0.19</v>
      </c>
      <c r="AS93" s="91">
        <v>5.75</v>
      </c>
      <c r="AT93" s="91">
        <v>0</v>
      </c>
      <c r="AU93" s="91"/>
      <c r="AV93" s="91" t="s">
        <v>148</v>
      </c>
      <c r="AW93" s="97">
        <v>0</v>
      </c>
      <c r="AX93" s="256">
        <f>P+ER</f>
        <v>16.43</v>
      </c>
      <c r="AY93" s="256">
        <f>P*0.375*MC</f>
        <v>0</v>
      </c>
      <c r="AZ93" s="275">
        <f>IF(C93="",0,(0.5*(_ML1*LPM)+0.5*(_ML1*HB)+0.66*(P*PR)+0.66*(_ML2*RDM)+0.66*(E*ER))*VLOOKUP(BATT,'Look Ups'!$U$3:$V$4,2,0))</f>
        <v>65.963045999999991</v>
      </c>
      <c r="BA93" s="98"/>
      <c r="BB93" s="99"/>
      <c r="BC93" s="83">
        <v>15.2</v>
      </c>
      <c r="BD93" s="91">
        <v>6.18</v>
      </c>
      <c r="BE93" s="91">
        <v>7.07</v>
      </c>
      <c r="BF93" s="91">
        <v>0.15</v>
      </c>
      <c r="BG93" s="91">
        <v>13.13</v>
      </c>
      <c r="BH93" s="91"/>
      <c r="BI93" s="91"/>
      <c r="BJ93" s="91">
        <v>-0.27</v>
      </c>
      <c r="BK93" s="91">
        <v>0.11</v>
      </c>
      <c r="BL93" s="97">
        <v>0</v>
      </c>
      <c r="BM93" s="275">
        <f>(0.5*LL*LPG)+(0.5*_LG1*HG)+(0.66*LL*LLRG)+(0.66*FG*FRG)+(IF((HG&gt;0),(0.66*_LG2*LRG),(0.66*_LG1*LRG)))</f>
        <v>46.431684000000004</v>
      </c>
      <c r="BN93" s="282"/>
      <c r="BO93" s="283"/>
      <c r="BP93" s="284"/>
      <c r="BQ93" s="284"/>
      <c r="BR93" s="283"/>
      <c r="BS93" s="284"/>
      <c r="BT93" s="284"/>
      <c r="BU93" s="280">
        <f>(0.5*LLS*LPS)+(0.66*LLS*LLRS)+(0.66*LS*LRS)+(0.66*FS*FRS)</f>
        <v>0</v>
      </c>
      <c r="BV93" s="285"/>
      <c r="BW93" s="283"/>
      <c r="BX93" s="283"/>
      <c r="BY93" s="283"/>
      <c r="BZ93" s="283"/>
      <c r="CA93" s="283"/>
      <c r="CB93" s="283"/>
      <c r="CC93" s="275">
        <f>(0.5*LLD*LPD)+(0.66*LLD*LLRD)+(0.66*LCHD*LRD)+(0.66*FD*FRD)</f>
        <v>0</v>
      </c>
      <c r="CD93" s="98">
        <v>11.002000000000001</v>
      </c>
      <c r="CE93" s="91">
        <v>17.48</v>
      </c>
      <c r="CF93" s="91">
        <v>14.43</v>
      </c>
      <c r="CG93" s="91">
        <v>10.63</v>
      </c>
      <c r="CH93" s="266">
        <f>IF(SF&gt;0,SMG/SF*100,"")</f>
        <v>96.618796582439558</v>
      </c>
      <c r="CI93" s="286"/>
      <c r="CJ93" s="280">
        <f>SF*(_SL1+_SL2)/4+(SMG-SF/2)*(_SL1+_SL2)/3</f>
        <v>142.32391833333332</v>
      </c>
      <c r="CK93" s="83"/>
      <c r="CL93" s="91"/>
      <c r="CM93" s="91"/>
      <c r="CN93" s="91"/>
      <c r="CO93" s="256" t="str">
        <f>IF(SCRF&gt;0,SCRMG/SCRF*100,"")</f>
        <v/>
      </c>
      <c r="CP93" s="286"/>
      <c r="CQ93" s="256">
        <f>SCRF*(SCRL1+SCRL2)/4+(SCRMG-SCRF/2)*(SCRL1+SCRL2)/3</f>
        <v>0</v>
      </c>
      <c r="CR93" s="256" t="str">
        <f>IF(CO93&lt;'Look Ups'!$AC$4,"Yes","No")</f>
        <v>No</v>
      </c>
      <c r="CS93" s="267">
        <f>IF(CR93="Yes",MIN(150,('Look Ups'!$AC$4-PSCR)/('Look Ups'!$AC$4-'Look Ups'!$AC$3)*100),0)</f>
        <v>0</v>
      </c>
      <c r="CT93" s="83"/>
      <c r="CU93" s="91"/>
      <c r="CV93" s="91"/>
      <c r="CW93" s="91"/>
      <c r="CX93" s="256" t="str">
        <f>IF(USCRF&gt;0,USCRMG/USCRF*100,"")</f>
        <v/>
      </c>
      <c r="CY93" s="293">
        <f>IF(PUSCR&lt;'Look Ups'!$AC$4,MIN(150,('Look Ups'!$AC$4-PUSCR)/('Look Ups'!$AC$4-'Look Ups'!$AC$3)*100),0)</f>
        <v>0</v>
      </c>
      <c r="CZ93" s="275">
        <f>IF(PUSCR&lt;'Look Ups'!$AC$4,USCRF*(USCRL1+USCRL2)/4+(USCRMG-USCRF/2)*(USCRL1+USCRL2)/3,0)</f>
        <v>0</v>
      </c>
      <c r="DA93" s="294">
        <f>IF(ZVAL=1,1,IF(LPM&gt;0,0.64*((AM+MAM)/(E+(MC/2))^2)^0.3,0))</f>
        <v>1</v>
      </c>
      <c r="DB93" s="256">
        <f>0.65*((AM+MAM)*EFM)+0.35*((AM+MAM)*ZVAL)</f>
        <v>65.963045999999991</v>
      </c>
      <c r="DC93" s="256">
        <f>IF(ZVAL=1,1,IF(LPG&gt;0,0.72*(AG/(LPG^2))^0.3,0))</f>
        <v>1</v>
      </c>
      <c r="DD93" s="256">
        <f>AG*EFG</f>
        <v>46.431684000000004</v>
      </c>
      <c r="DE93" s="256">
        <f>IF(AZ93&gt;0,'Look Ups'!$S$3,0)</f>
        <v>1</v>
      </c>
      <c r="DF93" s="256">
        <f>IF(LPS&gt;0,0.72*(AS/(LPS^2))^0.3,0)</f>
        <v>0</v>
      </c>
      <c r="DG93" s="256">
        <f>EFS*AS</f>
        <v>0</v>
      </c>
      <c r="DH93" s="256">
        <f>IF(LPD&gt;0,0.72*(AD/(LPD^2))^0.3,0)</f>
        <v>0</v>
      </c>
      <c r="DI93" s="280">
        <f>IF((AD-AG)&gt;0,0.3*(AD-AG)*EFD,0)</f>
        <v>0</v>
      </c>
      <c r="DJ93" s="295" t="str">
        <f>IF((SCRF=0),"-",IF(AND(MSASC&gt;AG,SCRMG&lt;(0.75*SCRF)),"valid","ERROR"))</f>
        <v>-</v>
      </c>
      <c r="DK93" s="266" t="str">
        <f>IF((SF=0),"-",IF((SMG&lt;(0.75*SF)),"ERROR",IF(AND(MSASP&gt;MSASC,MSASP&gt;AG,MSASP&gt;=0.36*RSAM),"valid","Small")))</f>
        <v>valid</v>
      </c>
      <c r="DL93" s="267" t="str">
        <f>IF(C93="","",CONCATENATE("MG",IF(FLSCR="valid","Scr",""),IF(FLSPI="valid","SP","")))</f>
        <v>MGSP</v>
      </c>
      <c r="DM93" s="294">
        <f>RSAM+RSAG</f>
        <v>112.39473</v>
      </c>
      <c r="DN93" s="256">
        <f>IF(MSASP&gt;0,'Look Ups'!$AI$4*(ZVAL*MSASP-RSAG),0)</f>
        <v>28.767670299999995</v>
      </c>
      <c r="DO93" s="256">
        <f>IF(AND(MSASC&gt;0,(MSASC&gt;=0.36*RSAM)),('Look Ups'!$AI$3*(ZVAL*MSASC-RSAG)),(0))</f>
        <v>0</v>
      </c>
      <c r="DP93" s="256">
        <f>IF(MSASP&gt;0,'Look Ups'!$AI$5*(ZVAL*MSASP-RSAG),0)</f>
        <v>26.849825613333334</v>
      </c>
      <c r="DQ93" s="256">
        <f>IF(MSASC&gt;0,'Look Ups'!$AI$6*(MSASC-RSAG),0)</f>
        <v>0</v>
      </c>
      <c r="DR93" s="280">
        <f>'Look Ups'!$AI$7*MAX(IF(MSAUSC&gt;0,EUSC/100*(MSAUSC-RSAG),0),IF(CR93="Yes",ELSC/100*(MSASC-RSAG),0))</f>
        <v>0</v>
      </c>
      <c r="DS93" s="280">
        <f>0.36*RSAM</f>
        <v>23.746696559999997</v>
      </c>
      <c r="DT93" s="296">
        <f>_xlfn.IFS(SPC="MG",RAMG+DS93,SPC="MGScr",RAMG+RASCO,SPC="MGSp",RAMG+RASPO,SPC="MGScrSp",RAMG+RASPSC+RASCR)+RAUSC+RSAST+RSAD+RSAMZ+RSA2M</f>
        <v>141.1624003</v>
      </c>
      <c r="DU93" s="63"/>
    </row>
    <row r="94" spans="1:125" ht="15.6" customHeight="1" x14ac:dyDescent="0.3">
      <c r="A94" s="4"/>
      <c r="B94" s="84"/>
      <c r="C94" s="64" t="s">
        <v>407</v>
      </c>
      <c r="D94" s="90" t="s">
        <v>408</v>
      </c>
      <c r="E94" s="114" t="s">
        <v>409</v>
      </c>
      <c r="F94" s="252">
        <f ca="1">IF(RW=0,0,ROUND(DLF*0.93*RL^LF*RSA^0.4/RW^0.325,3))</f>
        <v>0.81499999999999995</v>
      </c>
      <c r="G94" s="252" t="str">
        <f ca="1">IF(OR(FLSCR="ERROR",FLSPI="ERROR"),"No",IF(TODAY()-'Look Ups'!$D$4*365&gt;I94,"WP Applied","Yes"))</f>
        <v>Yes</v>
      </c>
      <c r="H94" s="253" t="str">
        <f>IF(SPC="","",CONCATENATE("Main-Genoa",IF(FLSCR="valid",IF(OR(CR94="Yes",MSAUSC&gt;0),"-Screacher (Upwind)","-Screacher"),""),IF(FLSPI="valid","-Spinnaker",""),IF(RSAMZ&gt;0,"-Mizzen",""),IF(RSA2M&gt;0,"-Second Main",""),IF(AS&gt;0,"-Staysail",""),IF(AD&gt;0,"-Drifter","")))</f>
        <v>Main-Genoa-Screacher-Spinnaker</v>
      </c>
      <c r="I94" s="1">
        <v>43682</v>
      </c>
      <c r="J94" s="1">
        <v>43682</v>
      </c>
      <c r="K94" s="87" t="s">
        <v>153</v>
      </c>
      <c r="L94" s="87" t="s">
        <v>142</v>
      </c>
      <c r="M94" s="207"/>
      <c r="N94" s="88" t="s">
        <v>143</v>
      </c>
      <c r="O94" s="88" t="s">
        <v>154</v>
      </c>
      <c r="P94" s="89"/>
      <c r="Q94" s="90">
        <v>7.19</v>
      </c>
      <c r="R94" s="87"/>
      <c r="S94" s="256">
        <f>IF((LOAA&gt;LOA),0.025*LOAA,0.025*LOA)</f>
        <v>0.17975000000000002</v>
      </c>
      <c r="T94" s="91"/>
      <c r="U94" s="91">
        <v>0</v>
      </c>
      <c r="V94" s="258">
        <f>IF((_xlfn.SINGLE(LOAA)&gt;_xlfn.SINGLE(LOA)),_xlfn.SINGLE(LOAA),_xlfn.SINGLE(LOA)-_xlfn.SINGLE(FOC)-_xlfn.SINGLE(AOC))</f>
        <v>7.19</v>
      </c>
      <c r="W94" s="259">
        <f>IF(RL&gt;0,IF(RL&gt;'Look Ups'!Y$7,'Look Ups'!Y$8,('Look Ups'!Y$3*RL^3+'Look Ups'!Y$4*RL^2+'Look Ups'!Y$5*RL+'Look Ups'!Y$6)),0)</f>
        <v>0.29059639364700002</v>
      </c>
      <c r="X94" s="92">
        <v>965</v>
      </c>
      <c r="Y94" s="262">
        <f ca="1">IF(WDATE&lt;(TODAY()-'Look Ups'!$D$4*365),-WM*'Look Ups'!$D$5/100,0)</f>
        <v>0</v>
      </c>
      <c r="Z94" s="93"/>
      <c r="AA94" s="93"/>
      <c r="AB94" s="75"/>
      <c r="AC94" s="265">
        <f>WCD+NC*'Look Ups'!$AF$3</f>
        <v>0</v>
      </c>
      <c r="AD94" s="265">
        <f ca="1">IF(RL&lt;'Look Ups'!AM$3,'Look Ups'!AM$4,IF(RL&gt;'Look Ups'!AM$5,'Look Ups'!AM$6,(RL-'Look Ups'!AM$3)/('Look Ups'!AM$5-'Look Ups'!AM$3)*('Look Ups'!AM$6-'Look Ups'!AM$4)+'Look Ups'!AM$4))/100*WS</f>
        <v>272.30545454545455</v>
      </c>
      <c r="AE94" s="266">
        <f ca="1">WM+WP+WE</f>
        <v>965</v>
      </c>
      <c r="AF94" s="267">
        <f ca="1">_xlfn.SINGLE(WS)+IF(_xlfn.SINGLE(TCW)&gt;=_xlfn.SINGLE(CWA),_xlfn.SINGLE(CWA),_xlfn.SINGLE(TCW))</f>
        <v>965</v>
      </c>
      <c r="AG94" s="94" t="s">
        <v>145</v>
      </c>
      <c r="AH94" s="95" t="s">
        <v>146</v>
      </c>
      <c r="AI94" s="96" t="s">
        <v>147</v>
      </c>
      <c r="AJ94" s="218"/>
      <c r="AK94" s="273">
        <f>IF(C94="",0,VLOOKUP(AG94,'Look Ups'!$F$3:$G$6,2,0)*VLOOKUP(AH94,'Look Ups'!$I$3:$J$5,2,0)*VLOOKUP(AI94,'Look Ups'!$L$3:$M$7,2,0)*IF(AJ94="",1,VLOOKUP(AJ94,'Look Ups'!$O$3:$P$4,2,0)))</f>
        <v>1</v>
      </c>
      <c r="AL94" s="83">
        <v>10.02</v>
      </c>
      <c r="AM94" s="91">
        <v>9.8000000000000007</v>
      </c>
      <c r="AN94" s="91">
        <v>3</v>
      </c>
      <c r="AO94" s="91">
        <v>1.1599999999999999</v>
      </c>
      <c r="AP94" s="91">
        <v>0.44</v>
      </c>
      <c r="AQ94" s="91">
        <v>9.48</v>
      </c>
      <c r="AR94" s="91">
        <v>0.05</v>
      </c>
      <c r="AS94" s="91">
        <v>3.2</v>
      </c>
      <c r="AT94" s="91">
        <v>0.2</v>
      </c>
      <c r="AU94" s="91"/>
      <c r="AV94" s="91" t="s">
        <v>148</v>
      </c>
      <c r="AW94" s="97"/>
      <c r="AX94" s="256">
        <f>P+ER</f>
        <v>9.68</v>
      </c>
      <c r="AY94" s="256">
        <f>P*0.375*MC</f>
        <v>0</v>
      </c>
      <c r="AZ94" s="275">
        <f>IF(C94="",0,(0.5*(_ML1*LPM)+0.5*(_ML1*HB)+0.66*(P*PR)+0.66*(_ML2*RDM)+0.66*(E*ER))*VLOOKUP(BATT,'Look Ups'!$U$3:$V$4,2,0))</f>
        <v>24.42276</v>
      </c>
      <c r="BA94" s="98"/>
      <c r="BB94" s="99"/>
      <c r="BC94" s="83">
        <v>7.6</v>
      </c>
      <c r="BD94" s="91">
        <v>2.93</v>
      </c>
      <c r="BE94" s="91">
        <v>3.18</v>
      </c>
      <c r="BF94" s="91">
        <v>0.1</v>
      </c>
      <c r="BG94" s="91">
        <v>6.88</v>
      </c>
      <c r="BH94" s="91"/>
      <c r="BI94" s="91"/>
      <c r="BJ94" s="91">
        <v>-0.1</v>
      </c>
      <c r="BK94" s="91">
        <v>0.06</v>
      </c>
      <c r="BL94" s="97"/>
      <c r="BM94" s="275">
        <f>(0.5*LL*LPG)+(0.5*_LG1*HG)+(0.66*LL*LLRG)+(0.66*FG*FRG)+(IF((HG&gt;0),(0.66*_LG2*LRG),(0.66*_LG1*LRG)))</f>
        <v>11.190760000000001</v>
      </c>
      <c r="BN94" s="282"/>
      <c r="BO94" s="283"/>
      <c r="BP94" s="284"/>
      <c r="BQ94" s="284"/>
      <c r="BR94" s="283"/>
      <c r="BS94" s="284"/>
      <c r="BT94" s="284"/>
      <c r="BU94" s="280">
        <f>(0.5*LLS*LPS)+(0.66*LLS*LLRS)+(0.66*LS*LRS)+(0.66*FS*FRS)</f>
        <v>0</v>
      </c>
      <c r="BV94" s="285"/>
      <c r="BW94" s="283"/>
      <c r="BX94" s="283"/>
      <c r="BY94" s="283"/>
      <c r="BZ94" s="283"/>
      <c r="CA94" s="283"/>
      <c r="CB94" s="283"/>
      <c r="CC94" s="275">
        <f>(0.5*LLD*LPD)+(0.66*LLD*LLRD)+(0.66*LCHD*LRD)+(0.66*FD*FRD)</f>
        <v>0</v>
      </c>
      <c r="CD94" s="98">
        <v>6.04</v>
      </c>
      <c r="CE94" s="91">
        <v>10.9</v>
      </c>
      <c r="CF94" s="91">
        <v>9.18</v>
      </c>
      <c r="CG94" s="91">
        <v>5.31</v>
      </c>
      <c r="CH94" s="266">
        <f>IF(SF&gt;0,SMG/SF*100,"")</f>
        <v>87.9139072847682</v>
      </c>
      <c r="CI94" s="283"/>
      <c r="CJ94" s="280">
        <f>SF*(_SL1+_SL2)/4+(SMG-SF/2)*(_SL1+_SL2)/3</f>
        <v>45.648533333333326</v>
      </c>
      <c r="CK94" s="83">
        <v>4.05</v>
      </c>
      <c r="CL94" s="91">
        <v>7.66</v>
      </c>
      <c r="CM94" s="91">
        <v>6.58</v>
      </c>
      <c r="CN94" s="91">
        <v>2.37</v>
      </c>
      <c r="CO94" s="256">
        <f>IF(SCRF&gt;0,SCRMG/SCRF*100,"")</f>
        <v>58.518518518518526</v>
      </c>
      <c r="CP94" s="283"/>
      <c r="CQ94" s="256">
        <f>SCRF*(SCRL1+SCRL2)/4+(SCRMG-SCRF/2)*(SCRL1+SCRL2)/3</f>
        <v>16.055599999999998</v>
      </c>
      <c r="CR94" s="256" t="str">
        <f>IF(CO94&lt;'Look Ups'!$AC$4,"Yes","No")</f>
        <v>No</v>
      </c>
      <c r="CS94" s="267">
        <f>IF(CR94="Yes",MIN(150,('Look Ups'!$AC$4-PSCR)/('Look Ups'!$AC$4-'Look Ups'!$AC$3)*100),0)</f>
        <v>0</v>
      </c>
      <c r="CT94" s="83"/>
      <c r="CU94" s="91"/>
      <c r="CV94" s="91"/>
      <c r="CW94" s="91"/>
      <c r="CX94" s="256" t="str">
        <f>IF(USCRF&gt;0,USCRMG/USCRF*100,"")</f>
        <v/>
      </c>
      <c r="CY94" s="293">
        <f>IF(PUSCR&lt;'Look Ups'!$AC$4,MIN(150,('Look Ups'!$AC$4-PUSCR)/('Look Ups'!$AC$4-'Look Ups'!$AC$3)*100),0)</f>
        <v>0</v>
      </c>
      <c r="CZ94" s="275">
        <f>IF(PUSCR&lt;'Look Ups'!$AC$4,USCRF*(USCRL1+USCRL2)/4+(USCRMG-USCRF/2)*(USCRL1+USCRL2)/3,0)</f>
        <v>0</v>
      </c>
      <c r="DA94" s="294">
        <f>IF(ZVAL=1,1,IF(LPM&gt;0,0.64*((AM+MAM)/(E+(MC/2))^2)^0.3,0))</f>
        <v>1</v>
      </c>
      <c r="DB94" s="256">
        <f>0.65*((AM+MAM)*EFM)+0.35*((AM+MAM)*ZVAL)</f>
        <v>24.42276</v>
      </c>
      <c r="DC94" s="256">
        <f>IF(ZVAL=1,1,IF(LPG&gt;0,0.72*(AG/(LPG^2))^0.3,0))</f>
        <v>1</v>
      </c>
      <c r="DD94" s="256">
        <f>AG*EFG</f>
        <v>11.190760000000001</v>
      </c>
      <c r="DE94" s="256">
        <f>IF(AZ94&gt;0,'Look Ups'!$S$3,0)</f>
        <v>1</v>
      </c>
      <c r="DF94" s="256">
        <f>IF(LPS&gt;0,0.72*(AS/(LPS^2))^0.3,0)</f>
        <v>0</v>
      </c>
      <c r="DG94" s="256">
        <f>EFS*AS</f>
        <v>0</v>
      </c>
      <c r="DH94" s="256">
        <f>IF(LPD&gt;0,0.72*(AD/(LPD^2))^0.3,0)</f>
        <v>0</v>
      </c>
      <c r="DI94" s="280">
        <f>IF((AD-AG)&gt;0,0.3*(AD-AG)*EFD,0)</f>
        <v>0</v>
      </c>
      <c r="DJ94" s="295" t="str">
        <f>IF((SCRF=0),"-",IF(AND(MSASC&gt;AG,SCRMG&lt;(0.75*SCRF)),"valid","ERROR"))</f>
        <v>valid</v>
      </c>
      <c r="DK94" s="266" t="str">
        <f>IF((SF=0),"-",IF((SMG&lt;(0.75*SF)),"ERROR",IF(AND(MSASP&gt;MSASC,MSASP&gt;AG,MSASP&gt;=0.36*RSAM),"valid","Small")))</f>
        <v>valid</v>
      </c>
      <c r="DL94" s="267" t="str">
        <f>IF(C94="","",CONCATENATE("MG",IF(FLSCR="valid","Scr",""),IF(FLSPI="valid","SP","")))</f>
        <v>MGScrSP</v>
      </c>
      <c r="DM94" s="294">
        <f>RSAM+RSAG</f>
        <v>35.613520000000001</v>
      </c>
      <c r="DN94" s="256">
        <f>IF(MSASP&gt;0,'Look Ups'!$AI$4*(ZVAL*MSASP-RSAG),0)</f>
        <v>10.337331999999996</v>
      </c>
      <c r="DO94" s="256">
        <f>IF(AND(MSASC&gt;0,(MSASC&gt;=0.36*RSAM)),('Look Ups'!$AI$3*(ZVAL*MSASC-RSAG)),(0))</f>
        <v>1.702693999999999</v>
      </c>
      <c r="DP94" s="256">
        <f>IF(MSASP&gt;0,'Look Ups'!$AI$5*(ZVAL*MSASP-RSAG),0)</f>
        <v>9.6481765333333307</v>
      </c>
      <c r="DQ94" s="256">
        <f>IF(MSASC&gt;0,'Look Ups'!$AI$6*(MSASC-RSAG),0)</f>
        <v>0.34053879999999986</v>
      </c>
      <c r="DR94" s="280">
        <f>'Look Ups'!$AI$7*MAX(IF(MSAUSC&gt;0,EUSC/100*(MSAUSC-RSAG),0),IF(CR94="Yes",ELSC/100*(MSASC-RSAG),0))</f>
        <v>0</v>
      </c>
      <c r="DS94" s="280">
        <f>0.36*RSAM</f>
        <v>8.7921935999999992</v>
      </c>
      <c r="DT94" s="296">
        <f>_xlfn.IFS(SPC="MG",RAMG+DS94,SPC="MGScr",RAMG+RASCO,SPC="MGSp",RAMG+RASPO,SPC="MGScrSp",RAMG+RASPSC+RASCR)+RAUSC+RSAST+RSAD+RSAMZ+RSA2M</f>
        <v>45.602235333333333</v>
      </c>
      <c r="DU94" s="63"/>
    </row>
    <row r="95" spans="1:125" ht="15.6" customHeight="1" x14ac:dyDescent="0.3">
      <c r="A95" s="4"/>
      <c r="B95" s="64"/>
      <c r="C95" s="64" t="s">
        <v>1163</v>
      </c>
      <c r="D95" s="90" t="s">
        <v>1164</v>
      </c>
      <c r="E95" s="114" t="s">
        <v>174</v>
      </c>
      <c r="F95" s="252">
        <f ca="1">IF(RW=0,0,ROUND(DLF*0.93*RL^LF*RSA^0.4/RW^0.325,3))</f>
        <v>0.92500000000000004</v>
      </c>
      <c r="G95" s="252" t="str">
        <f ca="1">IF(OR(FLSCR="ERROR",FLSPI="ERROR"),"No",IF(TODAY()-'Look Ups'!$D$4*365&gt;I95,"WP Applied","Yes"))</f>
        <v>Yes</v>
      </c>
      <c r="H95" s="253" t="str">
        <f>IF(SPC="","",CONCATENATE("Main-Genoa",IF(FLSCR="valid",IF(OR(CR95="Yes",MSAUSC&gt;0),"-Screacher (Upwind)","-Screacher"),""),IF(FLSPI="valid","-Spinnaker",""),IF(RSAMZ&gt;0,"-Mizzen",""),IF(RSA2M&gt;0,"-Second Main",""),IF(AS&gt;0,"-Staysail",""),IF(AD&gt;0,"-Drifter","")))</f>
        <v>Main-Genoa-Screacher (Upwind)</v>
      </c>
      <c r="I95" s="1">
        <v>45358</v>
      </c>
      <c r="J95" s="1">
        <v>45372</v>
      </c>
      <c r="K95" s="87" t="s">
        <v>255</v>
      </c>
      <c r="L95" s="87" t="s">
        <v>164</v>
      </c>
      <c r="M95" s="207"/>
      <c r="N95" s="88" t="s">
        <v>165</v>
      </c>
      <c r="O95" s="88" t="s">
        <v>154</v>
      </c>
      <c r="P95" s="89">
        <v>8.5299999999999994</v>
      </c>
      <c r="Q95" s="90">
        <v>21.03</v>
      </c>
      <c r="R95" s="87"/>
      <c r="S95" s="256">
        <f>IF((LOAA&gt;LOA),0.025*LOAA,0.025*LOA)</f>
        <v>0.52575000000000005</v>
      </c>
      <c r="T95" s="91">
        <v>0.01</v>
      </c>
      <c r="U95" s="91">
        <v>0</v>
      </c>
      <c r="V95" s="258">
        <f>IF((_xlfn.SINGLE(LOAA)&gt;_xlfn.SINGLE(LOA)),_xlfn.SINGLE(LOAA),_xlfn.SINGLE(LOA)-_xlfn.SINGLE(FOC)-_xlfn.SINGLE(AOC))</f>
        <v>21.02</v>
      </c>
      <c r="W95" s="259">
        <f>IF(RL&gt;0,IF(RL&gt;'Look Ups'!Y$7,'Look Ups'!Y$8,('Look Ups'!Y$3*RL^3+'Look Ups'!Y$4*RL^2+'Look Ups'!Y$5*RL+'Look Ups'!Y$6)),0)</f>
        <v>0.3</v>
      </c>
      <c r="X95" s="92">
        <v>19118</v>
      </c>
      <c r="Y95" s="262">
        <f ca="1">IF(WDATE&lt;(TODAY()-'Look Ups'!$D$4*365),-WM*'Look Ups'!$D$5/100,0)</f>
        <v>0</v>
      </c>
      <c r="Z95" s="93"/>
      <c r="AA95" s="93"/>
      <c r="AB95" s="75"/>
      <c r="AC95" s="265">
        <f>WCD+NC*'Look Ups'!$AF$3</f>
        <v>0</v>
      </c>
      <c r="AD95" s="265">
        <f ca="1">IF(RL&lt;'Look Ups'!AM$3,'Look Ups'!AM$4,IF(RL&gt;'Look Ups'!AM$5,'Look Ups'!AM$6,(RL-'Look Ups'!AM$3)/('Look Ups'!AM$5-'Look Ups'!AM$3)*('Look Ups'!AM$6-'Look Ups'!AM$4)+'Look Ups'!AM$4))/100*WS</f>
        <v>1911.8000000000002</v>
      </c>
      <c r="AE95" s="266">
        <f ca="1">WM+WP+WE</f>
        <v>19118</v>
      </c>
      <c r="AF95" s="267">
        <f ca="1">_xlfn.SINGLE(WS)+IF(_xlfn.SINGLE(TCW)&gt;=_xlfn.SINGLE(CWA),_xlfn.SINGLE(CWA),_xlfn.SINGLE(TCW))</f>
        <v>19118</v>
      </c>
      <c r="AG95" s="94" t="s">
        <v>145</v>
      </c>
      <c r="AH95" s="95" t="s">
        <v>146</v>
      </c>
      <c r="AI95" s="96" t="s">
        <v>177</v>
      </c>
      <c r="AJ95" s="218"/>
      <c r="AK95" s="273">
        <f>IF(C95="",0,VLOOKUP(AG95,'Look Ups'!$F$3:$G$6,2,0)*VLOOKUP(AH95,'Look Ups'!$I$3:$J$5,2,0)*VLOOKUP(AI95,'Look Ups'!$L$3:$M$7,2,0)*IF(AJ95="",1,VLOOKUP(AJ95,'Look Ups'!$O$3:$P$4,2,0)))</f>
        <v>0.99</v>
      </c>
      <c r="AL95" s="136">
        <v>24.6</v>
      </c>
      <c r="AM95" s="131">
        <v>23.664999999999999</v>
      </c>
      <c r="AN95" s="131">
        <v>8.27</v>
      </c>
      <c r="AO95" s="131">
        <v>3.4</v>
      </c>
      <c r="AP95" s="131">
        <v>1.04</v>
      </c>
      <c r="AQ95" s="131">
        <v>23.4</v>
      </c>
      <c r="AR95" s="131">
        <v>0.19</v>
      </c>
      <c r="AS95" s="131">
        <v>8.7899999999999991</v>
      </c>
      <c r="AT95" s="131">
        <v>0</v>
      </c>
      <c r="AU95" s="131"/>
      <c r="AV95" s="131" t="s">
        <v>148</v>
      </c>
      <c r="AW95" s="128"/>
      <c r="AX95" s="256">
        <f>P+ER</f>
        <v>23.4</v>
      </c>
      <c r="AY95" s="256">
        <f>P*0.375*MC</f>
        <v>0</v>
      </c>
      <c r="AZ95" s="275">
        <f>IF(C95="",0,(0.5*(_ML1*LPM)+0.5*(_ML1*HB)+0.66*(P*PR)+0.66*(_ML2*RDM)+0.66*(E*ER))*VLOOKUP(BATT,'Look Ups'!$U$3:$V$4,2,0))</f>
        <v>162.71901600000001</v>
      </c>
      <c r="BA95" s="98"/>
      <c r="BB95" s="99"/>
      <c r="BC95" s="136">
        <v>21.97</v>
      </c>
      <c r="BD95" s="131">
        <v>7.8</v>
      </c>
      <c r="BE95" s="131">
        <v>8.4</v>
      </c>
      <c r="BF95" s="131">
        <v>0.2</v>
      </c>
      <c r="BG95" s="131">
        <v>19.62</v>
      </c>
      <c r="BH95" s="131"/>
      <c r="BI95" s="131"/>
      <c r="BJ95" s="131">
        <v>-0.28000000000000003</v>
      </c>
      <c r="BK95" s="131">
        <v>0.06</v>
      </c>
      <c r="BL95" s="97"/>
      <c r="BM95" s="275">
        <f>(0.5*LL*LPG)+(0.5*_LG1*HG)+(0.66*LL*LLRG)+(0.66*FG*FRG)+(IF((HG&gt;0),(0.66*_LG2*LRG),(0.66*_LG1*LRG)))</f>
        <v>84.036035999999996</v>
      </c>
      <c r="BN95" s="282"/>
      <c r="BO95" s="283"/>
      <c r="BP95" s="284"/>
      <c r="BQ95" s="284"/>
      <c r="BR95" s="283"/>
      <c r="BS95" s="284"/>
      <c r="BT95" s="284"/>
      <c r="BU95" s="280">
        <f>(0.5*LLS*LPS)+(0.66*LLS*LLRS)+(0.66*LS*LRS)+(0.66*FS*FRS)</f>
        <v>0</v>
      </c>
      <c r="BV95" s="285"/>
      <c r="BW95" s="283"/>
      <c r="BX95" s="283"/>
      <c r="BY95" s="283"/>
      <c r="BZ95" s="283"/>
      <c r="CA95" s="283"/>
      <c r="CB95" s="283"/>
      <c r="CC95" s="275">
        <f>(0.5*LLD*LPD)+(0.66*LLD*LLRD)+(0.66*LCHD*LRD)+(0.66*FD*FRD)</f>
        <v>0</v>
      </c>
      <c r="CD95" s="98"/>
      <c r="CE95" s="91"/>
      <c r="CF95" s="91"/>
      <c r="CG95" s="91"/>
      <c r="CH95" s="266" t="str">
        <f>IF(SF&gt;0,SMG/SF*100,"")</f>
        <v/>
      </c>
      <c r="CI95" s="283"/>
      <c r="CJ95" s="280">
        <f>SF*(_SL1+_SL2)/4+(SMG-SF/2)*(_SL1+_SL2)/3</f>
        <v>0</v>
      </c>
      <c r="CK95" s="136">
        <v>16.649999999999999</v>
      </c>
      <c r="CL95" s="131">
        <v>26.65</v>
      </c>
      <c r="CM95" s="131">
        <v>24.19</v>
      </c>
      <c r="CN95" s="131">
        <v>10.83</v>
      </c>
      <c r="CO95" s="256">
        <f>IF(SCRF&gt;0,SCRMG/SCRF*100,"")</f>
        <v>65.045045045045043</v>
      </c>
      <c r="CP95" s="283"/>
      <c r="CQ95" s="256">
        <f>SCRF*(SCRL1+SCRL2)/4+(SCRMG-SCRF/2)*(SCRL1+SCRL2)/3</f>
        <v>254.0729</v>
      </c>
      <c r="CR95" s="256" t="str">
        <f>IF(CO95&lt;'Look Ups'!$AC$4,"Yes","No")</f>
        <v>No</v>
      </c>
      <c r="CS95" s="267">
        <f>IF(CR95="Yes",MIN(150,('Look Ups'!$AC$4-PSCR)/('Look Ups'!$AC$4-'Look Ups'!$AC$3)*100),0)</f>
        <v>0</v>
      </c>
      <c r="CT95" s="136">
        <v>10.8</v>
      </c>
      <c r="CU95" s="131">
        <v>25.2</v>
      </c>
      <c r="CV95" s="131">
        <v>22.1</v>
      </c>
      <c r="CW95" s="131">
        <v>5.42</v>
      </c>
      <c r="CX95" s="256">
        <f>IF(USCRF&gt;0,USCRMG/USCRF*100,"")</f>
        <v>50.185185185185176</v>
      </c>
      <c r="CY95" s="293">
        <f>IF(PUSCR&lt;'Look Ups'!$AC$4,MIN(150,('Look Ups'!$AC$4-PUSCR)/('Look Ups'!$AC$4-'Look Ups'!$AC$3)*100),0)</f>
        <v>36.296296296296475</v>
      </c>
      <c r="CZ95" s="275">
        <f>IF(PUSCR&lt;'Look Ups'!$AC$4,USCRF*(USCRL1+USCRL2)/4+(USCRMG-USCRF/2)*(USCRL1+USCRL2)/3,0)</f>
        <v>128.02533333333332</v>
      </c>
      <c r="DA95" s="294">
        <f>IF(ZVAL=1,1,IF(LPM&gt;0,0.64*((AM+MAM)/(E+(MC/2))^2)^0.3,0))</f>
        <v>1</v>
      </c>
      <c r="DB95" s="256">
        <f>0.65*((AM+MAM)*EFM)+0.35*((AM+MAM)*ZVAL)</f>
        <v>162.71901600000001</v>
      </c>
      <c r="DC95" s="256">
        <f>IF(ZVAL=1,1,IF(LPG&gt;0,0.72*(AG/(LPG^2))^0.3,0))</f>
        <v>1</v>
      </c>
      <c r="DD95" s="256">
        <f>AG*EFG</f>
        <v>84.036035999999996</v>
      </c>
      <c r="DE95" s="256">
        <f>IF(AZ95&gt;0,'Look Ups'!$S$3,0)</f>
        <v>1</v>
      </c>
      <c r="DF95" s="256">
        <f>IF(LPS&gt;0,0.72*(AS/(LPS^2))^0.3,0)</f>
        <v>0</v>
      </c>
      <c r="DG95" s="256">
        <f>EFS*AS</f>
        <v>0</v>
      </c>
      <c r="DH95" s="256">
        <f>IF(LPD&gt;0,0.72*(AD/(LPD^2))^0.3,0)</f>
        <v>0</v>
      </c>
      <c r="DI95" s="280">
        <f>IF((AD-AG)&gt;0,0.3*(AD-AG)*EFD,0)</f>
        <v>0</v>
      </c>
      <c r="DJ95" s="295" t="str">
        <f>IF((SCRF=0),"-",IF(AND(MSASC&gt;AG,SCRMG&lt;(0.75*SCRF)),"valid","ERROR"))</f>
        <v>valid</v>
      </c>
      <c r="DK95" s="266" t="str">
        <f>IF((SF=0),"-",IF((SMG&lt;(0.75*SF)),"ERROR",IF(AND(MSASP&gt;MSASC,MSASP&gt;AG,MSASP&gt;=0.36*RSAM),"valid","Small")))</f>
        <v>-</v>
      </c>
      <c r="DL95" s="267" t="str">
        <f>IF(C95="","",CONCATENATE("MG",IF(FLSCR="valid","Scr",""),IF(FLSPI="valid","SP","")))</f>
        <v>MGScr</v>
      </c>
      <c r="DM95" s="294">
        <f>RSAM+RSAG</f>
        <v>246.75505200000001</v>
      </c>
      <c r="DN95" s="256">
        <f>IF(MSASP&gt;0,'Look Ups'!$AI$4*(ZVAL*MSASP-RSAG),0)</f>
        <v>0</v>
      </c>
      <c r="DO95" s="256">
        <f>IF(AND(MSASC&gt;0,(MSASC&gt;=0.36*RSAM)),('Look Ups'!$AI$3*(ZVAL*MSASC-RSAG)),(0))</f>
        <v>59.512902400000002</v>
      </c>
      <c r="DP95" s="256">
        <f>IF(MSASP&gt;0,'Look Ups'!$AI$5*(ZVAL*MSASP-RSAG),0)</f>
        <v>0</v>
      </c>
      <c r="DQ95" s="256">
        <f>IF(MSASC&gt;0,'Look Ups'!$AI$6*(MSASC-RSAG),0)</f>
        <v>11.902580480000001</v>
      </c>
      <c r="DR95" s="280">
        <f>'Look Ups'!$AI$7*MAX(IF(MSAUSC&gt;0,EUSC/100*(MSAUSC-RSAG),0),IF(CR95="Yes",ELSC/100*(MSASC-RSAG),0))</f>
        <v>3.991621424691377</v>
      </c>
      <c r="DS95" s="280">
        <f>0.36*RSAM</f>
        <v>58.57884576</v>
      </c>
      <c r="DT95" s="296">
        <f>_xlfn.IFS(SPC="MG",RAMG+DS95,SPC="MGScr",RAMG+RASCO,SPC="MGSp",RAMG+RASPO,SPC="MGScrSp",RAMG+RASPSC+RASCR)+RAUSC+RSAST+RSAD+RSAMZ+RSA2M</f>
        <v>310.25957582469141</v>
      </c>
      <c r="DU95" s="63"/>
    </row>
    <row r="96" spans="1:125" ht="15.6" customHeight="1" x14ac:dyDescent="0.3">
      <c r="A96" s="4"/>
      <c r="B96" s="64"/>
      <c r="C96" s="64" t="s">
        <v>414</v>
      </c>
      <c r="D96" s="101" t="s">
        <v>415</v>
      </c>
      <c r="E96" s="86" t="s">
        <v>416</v>
      </c>
      <c r="F96" s="252">
        <f ca="1">IF(RW=0,0,ROUND(DLF*0.93*RL^LF*RSA^0.4/RW^0.325,3))</f>
        <v>0.77400000000000002</v>
      </c>
      <c r="G96" s="252" t="str">
        <f ca="1">IF(OR(FLSCR="ERROR",FLSPI="ERROR"),"No",IF(TODAY()-'Look Ups'!$D$4*365&gt;I96,"WP Applied","Yes"))</f>
        <v>Yes</v>
      </c>
      <c r="H96" s="253" t="str">
        <f>IF(SPC="","",CONCATENATE("Main-Genoa",IF(FLSCR="valid",IF(OR(CR96="Yes",MSAUSC&gt;0),"-Screacher (Upwind)","-Screacher"),""),IF(FLSPI="valid","-Spinnaker",""),IF(RSAMZ&gt;0,"-Mizzen",""),IF(RSA2M&gt;0,"-Second Main",""),IF(AS&gt;0,"-Staysail",""),IF(AD&gt;0,"-Drifter","")))</f>
        <v>Main-Genoa-Screacher-Spinnaker</v>
      </c>
      <c r="I96" s="1">
        <v>43683</v>
      </c>
      <c r="J96" s="1">
        <v>43683</v>
      </c>
      <c r="K96" s="87" t="s">
        <v>153</v>
      </c>
      <c r="L96" s="87" t="s">
        <v>142</v>
      </c>
      <c r="M96" s="207"/>
      <c r="N96" s="97" t="s">
        <v>143</v>
      </c>
      <c r="O96" s="97"/>
      <c r="P96" s="102"/>
      <c r="Q96" s="90">
        <v>10.78</v>
      </c>
      <c r="R96" s="87"/>
      <c r="S96" s="256">
        <f>IF((LOAA&gt;LOA),0.025*LOAA,0.025*LOA)</f>
        <v>0.26950000000000002</v>
      </c>
      <c r="T96" s="91">
        <v>0.1</v>
      </c>
      <c r="U96" s="91">
        <v>0</v>
      </c>
      <c r="V96" s="258">
        <f>IF((_xlfn.SINGLE(LOAA)&gt;_xlfn.SINGLE(LOA)),_xlfn.SINGLE(LOAA),_xlfn.SINGLE(LOA)-_xlfn.SINGLE(FOC)-_xlfn.SINGLE(AOC))</f>
        <v>10.68</v>
      </c>
      <c r="W96" s="259">
        <f>IF(RL&gt;0,IF(RL&gt;'Look Ups'!Y$7,'Look Ups'!Y$8,('Look Ups'!Y$3*RL^3+'Look Ups'!Y$4*RL^2+'Look Ups'!Y$5*RL+'Look Ups'!Y$6)),0)</f>
        <v>0.29927279225600001</v>
      </c>
      <c r="X96" s="92">
        <v>5000</v>
      </c>
      <c r="Y96" s="262">
        <f ca="1">IF(WDATE&lt;(TODAY()-'Look Ups'!$D$4*365),-WM*'Look Ups'!$D$5/100,0)</f>
        <v>0</v>
      </c>
      <c r="Z96" s="93"/>
      <c r="AA96" s="93"/>
      <c r="AB96" s="75"/>
      <c r="AC96" s="265">
        <f>WCD+NC*'Look Ups'!$AF$3</f>
        <v>0</v>
      </c>
      <c r="AD96" s="265">
        <f ca="1">IF(RL&lt;'Look Ups'!AM$3,'Look Ups'!AM$4,IF(RL&gt;'Look Ups'!AM$5,'Look Ups'!AM$6,(RL-'Look Ups'!AM$3)/('Look Ups'!AM$5-'Look Ups'!AM$3)*('Look Ups'!AM$6-'Look Ups'!AM$4)+'Look Ups'!AM$4))/100*WS</f>
        <v>776.36363636363637</v>
      </c>
      <c r="AE96" s="266">
        <f ca="1">WM+WP+WE</f>
        <v>5000</v>
      </c>
      <c r="AF96" s="267">
        <f ca="1">_xlfn.SINGLE(WS)+IF(_xlfn.SINGLE(TCW)&gt;=_xlfn.SINGLE(CWA),_xlfn.SINGLE(CWA),_xlfn.SINGLE(TCW))</f>
        <v>5000</v>
      </c>
      <c r="AG96" s="94" t="s">
        <v>145</v>
      </c>
      <c r="AH96" s="95" t="s">
        <v>146</v>
      </c>
      <c r="AI96" s="96" t="s">
        <v>187</v>
      </c>
      <c r="AJ96" s="218"/>
      <c r="AK96" s="273">
        <f>IF(C96="",0,VLOOKUP(AG96,'Look Ups'!$F$3:$G$6,2,0)*VLOOKUP(AH96,'Look Ups'!$I$3:$J$5,2,0)*VLOOKUP(AI96,'Look Ups'!$L$3:$M$7,2,0)*IF(AJ96="",1,VLOOKUP(AJ96,'Look Ups'!$O$3:$P$4,2,0)))</f>
        <v>0.995</v>
      </c>
      <c r="AL96" s="83">
        <v>15.12</v>
      </c>
      <c r="AM96" s="91">
        <v>14.74</v>
      </c>
      <c r="AN96" s="91">
        <v>4.7</v>
      </c>
      <c r="AO96" s="91">
        <v>1.74</v>
      </c>
      <c r="AP96" s="91">
        <v>0.35</v>
      </c>
      <c r="AQ96" s="91">
        <v>14.54</v>
      </c>
      <c r="AR96" s="91">
        <v>0.12</v>
      </c>
      <c r="AS96" s="91">
        <v>4.9400000000000004</v>
      </c>
      <c r="AT96" s="91">
        <v>0.06</v>
      </c>
      <c r="AU96" s="91"/>
      <c r="AV96" s="91" t="s">
        <v>148</v>
      </c>
      <c r="AW96" s="97">
        <v>0</v>
      </c>
      <c r="AX96" s="256">
        <f>P+ER</f>
        <v>14.6</v>
      </c>
      <c r="AY96" s="256">
        <f>P*0.375*MC</f>
        <v>0</v>
      </c>
      <c r="AZ96" s="275">
        <f>IF(C96="",0,(0.5*(_ML1*LPM)+0.5*(_ML1*HB)+0.66*(P*PR)+0.66*(_ML2*RDM)+0.66*(E*ER))*VLOOKUP(BATT,'Look Ups'!$U$3:$V$4,2,0))</f>
        <v>53.438531999999988</v>
      </c>
      <c r="BA96" s="98"/>
      <c r="BB96" s="99"/>
      <c r="BC96" s="83">
        <v>13.6</v>
      </c>
      <c r="BD96" s="91">
        <v>3.62</v>
      </c>
      <c r="BE96" s="91">
        <v>3.85</v>
      </c>
      <c r="BF96" s="91">
        <v>0.06</v>
      </c>
      <c r="BG96" s="91">
        <v>12.76</v>
      </c>
      <c r="BH96" s="91"/>
      <c r="BI96" s="91"/>
      <c r="BJ96" s="91">
        <v>0.02</v>
      </c>
      <c r="BK96" s="91">
        <v>0.03</v>
      </c>
      <c r="BL96" s="97">
        <v>0</v>
      </c>
      <c r="BM96" s="275">
        <f>(0.5*LL*LPG)+(0.5*_LG1*HG)+(0.66*LL*LLRG)+(0.66*FG*FRG)+(IF((HG&gt;0),(0.66*_LG2*LRG),(0.66*_LG1*LRG)))</f>
        <v>25.206171999999999</v>
      </c>
      <c r="BN96" s="282"/>
      <c r="BO96" s="283"/>
      <c r="BP96" s="284"/>
      <c r="BQ96" s="284"/>
      <c r="BR96" s="283"/>
      <c r="BS96" s="284"/>
      <c r="BT96" s="284"/>
      <c r="BU96" s="280">
        <f>(0.5*LLS*LPS)+(0.66*LLS*LLRS)+(0.66*LS*LRS)+(0.66*FS*FRS)</f>
        <v>0</v>
      </c>
      <c r="BV96" s="285"/>
      <c r="BW96" s="283"/>
      <c r="BX96" s="283"/>
      <c r="BY96" s="283"/>
      <c r="BZ96" s="283"/>
      <c r="CA96" s="283"/>
      <c r="CB96" s="283"/>
      <c r="CC96" s="275">
        <f>(0.5*LLD*LPD)+(0.66*LLD*LLRD)+(0.66*LCHD*LRD)+(0.66*FD*FRD)</f>
        <v>0</v>
      </c>
      <c r="CD96" s="98">
        <v>9.8000000000000007</v>
      </c>
      <c r="CE96" s="91">
        <v>18.13</v>
      </c>
      <c r="CF96" s="91">
        <v>16.02</v>
      </c>
      <c r="CG96" s="91">
        <v>8.3800000000000008</v>
      </c>
      <c r="CH96" s="266">
        <f>IF(SF&gt;0,SMG/SF*100,"")</f>
        <v>85.510204081632651</v>
      </c>
      <c r="CI96" s="286"/>
      <c r="CJ96" s="280">
        <f>SF*(_SL1+_SL2)/4+(SMG-SF/2)*(_SL1+_SL2)/3</f>
        <v>123.28150000000001</v>
      </c>
      <c r="CK96" s="83">
        <v>9.7200000000000006</v>
      </c>
      <c r="CL96" s="91">
        <v>16.78</v>
      </c>
      <c r="CM96" s="91">
        <v>15.6</v>
      </c>
      <c r="CN96" s="91">
        <v>5.37</v>
      </c>
      <c r="CO96" s="256">
        <f>IF(SCRF&gt;0,SCRMG/SCRF*100,"")</f>
        <v>55.246913580246911</v>
      </c>
      <c r="CP96" s="286"/>
      <c r="CQ96" s="256">
        <f>SCRF*(SCRL1+SCRL2)/4+(SCRMG-SCRF/2)*(SCRL1+SCRL2)/3</f>
        <v>84.188000000000002</v>
      </c>
      <c r="CR96" s="256" t="str">
        <f>IF(CO96&lt;'Look Ups'!$AC$4,"Yes","No")</f>
        <v>No</v>
      </c>
      <c r="CS96" s="267">
        <f>IF(CR96="Yes",MIN(150,('Look Ups'!$AC$4-PSCR)/('Look Ups'!$AC$4-'Look Ups'!$AC$3)*100),0)</f>
        <v>0</v>
      </c>
      <c r="CT96" s="83"/>
      <c r="CU96" s="91"/>
      <c r="CV96" s="91"/>
      <c r="CW96" s="91"/>
      <c r="CX96" s="256" t="str">
        <f>IF(USCRF&gt;0,USCRMG/USCRF*100,"")</f>
        <v/>
      </c>
      <c r="CY96" s="293">
        <f>IF(PUSCR&lt;'Look Ups'!$AC$4,MIN(150,('Look Ups'!$AC$4-PUSCR)/('Look Ups'!$AC$4-'Look Ups'!$AC$3)*100),0)</f>
        <v>0</v>
      </c>
      <c r="CZ96" s="275">
        <f>IF(PUSCR&lt;'Look Ups'!$AC$4,USCRF*(USCRL1+USCRL2)/4+(USCRMG-USCRF/2)*(USCRL1+USCRL2)/3,0)</f>
        <v>0</v>
      </c>
      <c r="DA96" s="294">
        <f>IF(ZVAL=1,1,IF(LPM&gt;0,0.64*((AM+MAM)/(E+(MC/2))^2)^0.3,0))</f>
        <v>1</v>
      </c>
      <c r="DB96" s="256">
        <f>0.65*((AM+MAM)*EFM)+0.35*((AM+MAM)*ZVAL)</f>
        <v>53.438531999999988</v>
      </c>
      <c r="DC96" s="256">
        <f>IF(ZVAL=1,1,IF(LPG&gt;0,0.72*(AG/(LPG^2))^0.3,0))</f>
        <v>1</v>
      </c>
      <c r="DD96" s="256">
        <f>AG*EFG</f>
        <v>25.206171999999999</v>
      </c>
      <c r="DE96" s="256">
        <f>IF(AZ96&gt;0,'Look Ups'!$S$3,0)</f>
        <v>1</v>
      </c>
      <c r="DF96" s="256">
        <f>IF(LPS&gt;0,0.72*(AS/(LPS^2))^0.3,0)</f>
        <v>0</v>
      </c>
      <c r="DG96" s="256">
        <f>EFS*AS</f>
        <v>0</v>
      </c>
      <c r="DH96" s="256">
        <f>IF(LPD&gt;0,0.72*(AD/(LPD^2))^0.3,0)</f>
        <v>0</v>
      </c>
      <c r="DI96" s="280">
        <f>IF((AD-AG)&gt;0,0.3*(AD-AG)*EFD,0)</f>
        <v>0</v>
      </c>
      <c r="DJ96" s="295" t="str">
        <f>IF((SCRF=0),"-",IF(AND(MSASC&gt;AG,SCRMG&lt;(0.75*SCRF)),"valid","ERROR"))</f>
        <v>valid</v>
      </c>
      <c r="DK96" s="266" t="str">
        <f>IF((SF=0),"-",IF((SMG&lt;(0.75*SF)),"ERROR",IF(AND(MSASP&gt;MSASC,MSASP&gt;AG,MSASP&gt;=0.36*RSAM),"valid","Small")))</f>
        <v>valid</v>
      </c>
      <c r="DL96" s="267" t="str">
        <f>IF(C96="","",CONCATENATE("MG",IF(FLSCR="valid","Scr",""),IF(FLSPI="valid","SP","")))</f>
        <v>MGScrSP</v>
      </c>
      <c r="DM96" s="294">
        <f>RSAM+RSAG</f>
        <v>78.64470399999999</v>
      </c>
      <c r="DN96" s="256">
        <f>IF(MSASP&gt;0,'Look Ups'!$AI$4*(ZVAL*MSASP-RSAG),0)</f>
        <v>29.422598400000002</v>
      </c>
      <c r="DO96" s="256">
        <f>IF(AND(MSASC&gt;0,(MSASC&gt;=0.36*RSAM)),('Look Ups'!$AI$3*(ZVAL*MSASC-RSAG)),(0))</f>
        <v>20.643639800000003</v>
      </c>
      <c r="DP96" s="256">
        <f>IF(MSASP&gt;0,'Look Ups'!$AI$5*(ZVAL*MSASP-RSAG),0)</f>
        <v>27.461091840000005</v>
      </c>
      <c r="DQ96" s="256">
        <f>IF(MSASC&gt;0,'Look Ups'!$AI$6*(MSASC-RSAG),0)</f>
        <v>4.1287279600000009</v>
      </c>
      <c r="DR96" s="280">
        <f>'Look Ups'!$AI$7*MAX(IF(MSAUSC&gt;0,EUSC/100*(MSAUSC-RSAG),0),IF(CR96="Yes",ELSC/100*(MSASC-RSAG),0))</f>
        <v>0</v>
      </c>
      <c r="DS96" s="280">
        <f>0.36*RSAM</f>
        <v>19.237871519999995</v>
      </c>
      <c r="DT96" s="296">
        <f>_xlfn.IFS(SPC="MG",RAMG+DS96,SPC="MGScr",RAMG+RASCO,SPC="MGSp",RAMG+RASPO,SPC="MGScrSp",RAMG+RASPSC+RASCR)+RAUSC+RSAST+RSAD+RSAMZ+RSA2M</f>
        <v>110.23452380000001</v>
      </c>
      <c r="DU96" s="63"/>
    </row>
    <row r="97" spans="1:125" ht="15.6" customHeight="1" x14ac:dyDescent="0.3">
      <c r="A97" s="4"/>
      <c r="B97" s="64"/>
      <c r="C97" s="64" t="s">
        <v>418</v>
      </c>
      <c r="D97" s="85" t="s">
        <v>419</v>
      </c>
      <c r="E97" s="86" t="s">
        <v>420</v>
      </c>
      <c r="F97" s="252">
        <f ca="1">IF(RW=0,0,ROUND(DLF*0.93*RL^LF*RSA^0.4/RW^0.325,3))</f>
        <v>0.89100000000000001</v>
      </c>
      <c r="G97" s="252" t="str">
        <f ca="1">IF(OR(FLSCR="ERROR",FLSPI="ERROR"),"No",IF(TODAY()-'Look Ups'!$D$4*365&gt;I97,"WP Applied","Yes"))</f>
        <v>Yes</v>
      </c>
      <c r="H97" s="253" t="str">
        <f>IF(SPC="","",CONCATENATE("Main-Genoa",IF(FLSCR="valid",IF(OR(CR97="Yes",MSAUSC&gt;0),"-Screacher (Upwind)","-Screacher"),""),IF(FLSPI="valid","-Spinnaker",""),IF(RSAMZ&gt;0,"-Mizzen",""),IF(RSA2M&gt;0,"-Second Main",""),IF(AS&gt;0,"-Staysail",""),IF(AD&gt;0,"-Drifter","")))</f>
        <v>Main-Genoa-Screacher (Upwind)-Spinnaker</v>
      </c>
      <c r="I97" s="1">
        <v>45547</v>
      </c>
      <c r="J97" s="1">
        <v>45645</v>
      </c>
      <c r="K97" s="87" t="s">
        <v>1202</v>
      </c>
      <c r="L97" s="87" t="s">
        <v>164</v>
      </c>
      <c r="M97" s="207"/>
      <c r="N97" s="88" t="s">
        <v>165</v>
      </c>
      <c r="O97" s="88"/>
      <c r="P97" s="100"/>
      <c r="Q97" s="90">
        <v>14.91</v>
      </c>
      <c r="R97" s="87"/>
      <c r="S97" s="256">
        <f>IF((LOAA&gt;LOA),0.025*LOAA,0.025*LOA)</f>
        <v>0.37275000000000003</v>
      </c>
      <c r="T97" s="91">
        <v>0.12</v>
      </c>
      <c r="U97" s="91">
        <v>0</v>
      </c>
      <c r="V97" s="258">
        <f>IF((_xlfn.SINGLE(LOAA)&gt;_xlfn.SINGLE(LOA)),_xlfn.SINGLE(LOAA),_xlfn.SINGLE(LOA)-_xlfn.SINGLE(FOC)-_xlfn.SINGLE(AOC))</f>
        <v>14.790000000000001</v>
      </c>
      <c r="W97" s="259">
        <f>IF(RL&gt;0,IF(RL&gt;'Look Ups'!Y$7,'Look Ups'!Y$8,('Look Ups'!Y$3*RL^3+'Look Ups'!Y$4*RL^2+'Look Ups'!Y$5*RL+'Look Ups'!Y$6)),0)</f>
        <v>0.3</v>
      </c>
      <c r="X97" s="92">
        <v>7836</v>
      </c>
      <c r="Y97" s="262">
        <f ca="1">IF(WDATE&lt;(TODAY()-'Look Ups'!$D$4*365),-WM*'Look Ups'!$D$5/100,0)</f>
        <v>0</v>
      </c>
      <c r="Z97" s="93"/>
      <c r="AA97" s="93"/>
      <c r="AB97" s="75"/>
      <c r="AC97" s="265">
        <f>WCD+NC*'Look Ups'!$AF$3</f>
        <v>0</v>
      </c>
      <c r="AD97" s="265">
        <f ca="1">IF(RL&lt;'Look Ups'!AM$3,'Look Ups'!AM$4,IF(RL&gt;'Look Ups'!AM$5,'Look Ups'!AM$6,(RL-'Look Ups'!AM$3)/('Look Ups'!AM$5-'Look Ups'!AM$3)*('Look Ups'!AM$6-'Look Ups'!AM$4)+'Look Ups'!AM$4))/100*WS</f>
        <v>783.6</v>
      </c>
      <c r="AE97" s="266">
        <f ca="1">WM+WP+WE</f>
        <v>7836</v>
      </c>
      <c r="AF97" s="267">
        <f ca="1">_xlfn.SINGLE(WS)+IF(_xlfn.SINGLE(TCW)&gt;=_xlfn.SINGLE(CWA),_xlfn.SINGLE(CWA),_xlfn.SINGLE(TCW))</f>
        <v>7836</v>
      </c>
      <c r="AG97" s="94" t="s">
        <v>145</v>
      </c>
      <c r="AH97" s="95" t="s">
        <v>146</v>
      </c>
      <c r="AI97" s="96" t="s">
        <v>177</v>
      </c>
      <c r="AJ97" s="218"/>
      <c r="AK97" s="273">
        <f>IF(C97="",0,VLOOKUP(AG97,'Look Ups'!$F$3:$G$6,2,0)*VLOOKUP(AH97,'Look Ups'!$I$3:$J$5,2,0)*VLOOKUP(AI97,'Look Ups'!$L$3:$M$7,2,0)*IF(AJ97="",1,VLOOKUP(AJ97,'Look Ups'!$O$3:$P$4,2,0)))</f>
        <v>0.99</v>
      </c>
      <c r="AL97" s="83">
        <v>19.690000000000001</v>
      </c>
      <c r="AM97" s="91">
        <v>19.34</v>
      </c>
      <c r="AN97" s="91">
        <v>5.1100000000000003</v>
      </c>
      <c r="AO97" s="91">
        <v>1.8</v>
      </c>
      <c r="AP97" s="91">
        <v>0.55000000000000004</v>
      </c>
      <c r="AQ97" s="91">
        <v>19.600000000000001</v>
      </c>
      <c r="AR97" s="91">
        <v>0.13</v>
      </c>
      <c r="AS97" s="91">
        <v>5.4</v>
      </c>
      <c r="AT97" s="91">
        <v>0</v>
      </c>
      <c r="AU97" s="91"/>
      <c r="AV97" s="91" t="s">
        <v>148</v>
      </c>
      <c r="AW97" s="97" t="s">
        <v>421</v>
      </c>
      <c r="AX97" s="256">
        <f>P+ER</f>
        <v>19.600000000000001</v>
      </c>
      <c r="AY97" s="256">
        <f>P*0.375*MC</f>
        <v>0</v>
      </c>
      <c r="AZ97" s="275">
        <f>IF(C97="",0,(0.5*(_ML1*LPM)+0.5*(_ML1*HB)+0.66*(P*PR)+0.66*(_ML2*RDM)+0.66*(E*ER))*VLOOKUP(BATT,'Look Ups'!$U$3:$V$4,2,0))</f>
        <v>76.73105000000001</v>
      </c>
      <c r="BA97" s="98"/>
      <c r="BB97" s="99"/>
      <c r="BC97" s="83">
        <v>19</v>
      </c>
      <c r="BD97" s="91">
        <v>5.73</v>
      </c>
      <c r="BE97" s="91">
        <v>9.5500000000000007</v>
      </c>
      <c r="BF97" s="91">
        <v>0.17</v>
      </c>
      <c r="BG97" s="91">
        <v>18</v>
      </c>
      <c r="BH97" s="91">
        <v>18</v>
      </c>
      <c r="BI97" s="91"/>
      <c r="BJ97" s="91">
        <v>-0.13</v>
      </c>
      <c r="BK97" s="91">
        <v>0.05</v>
      </c>
      <c r="BL97" s="97"/>
      <c r="BM97" s="275">
        <f>(0.5*LL*LPG)+(0.5*_LG1*HG)+(0.66*LL*LLRG)+(0.66*FG*FRG)+(IF((HG&gt;0),(0.66*_LG2*LRG),(0.66*_LG1*LRG)))</f>
        <v>54.589110000000005</v>
      </c>
      <c r="BN97" s="282"/>
      <c r="BO97" s="283"/>
      <c r="BP97" s="284"/>
      <c r="BQ97" s="284"/>
      <c r="BR97" s="283"/>
      <c r="BS97" s="284"/>
      <c r="BT97" s="284"/>
      <c r="BU97" s="280">
        <f>(0.5*LLS*LPS)+(0.66*LLS*LLRS)+(0.66*LS*LRS)+(0.66*FS*FRS)</f>
        <v>0</v>
      </c>
      <c r="BV97" s="285"/>
      <c r="BW97" s="283"/>
      <c r="BX97" s="283"/>
      <c r="BY97" s="283"/>
      <c r="BZ97" s="283"/>
      <c r="CA97" s="283"/>
      <c r="CB97" s="283"/>
      <c r="CC97" s="275">
        <f>(0.5*LLD*LPD)+(0.66*LLD*LLRD)+(0.66*LCHD*LRD)+(0.66*FD*FRD)</f>
        <v>0</v>
      </c>
      <c r="CD97" s="98">
        <v>10.95</v>
      </c>
      <c r="CE97" s="91">
        <v>23.21</v>
      </c>
      <c r="CF97" s="91">
        <v>20.41</v>
      </c>
      <c r="CG97" s="91">
        <v>10.896000000000001</v>
      </c>
      <c r="CH97" s="266">
        <f>IF(SF&gt;0,SMG/SF*100,"")</f>
        <v>99.506849315068507</v>
      </c>
      <c r="CI97" s="283"/>
      <c r="CJ97" s="280">
        <f>SF*(_SL1+_SL2)/4+(SMG-SF/2)*(_SL1+_SL2)/3</f>
        <v>198.23109000000002</v>
      </c>
      <c r="CK97" s="83">
        <v>9.9</v>
      </c>
      <c r="CL97" s="91">
        <v>20.6</v>
      </c>
      <c r="CM97" s="91">
        <v>19.385000000000002</v>
      </c>
      <c r="CN97" s="91">
        <v>4.9859999999999998</v>
      </c>
      <c r="CO97" s="256">
        <f>IF(SCRF&gt;0,SCRMG/SCRF*100,"")</f>
        <v>50.363636363636353</v>
      </c>
      <c r="CP97" s="283"/>
      <c r="CQ97" s="256">
        <f>SCRF*(SCRL1+SCRL2)/4+(SCRMG-SCRF/2)*(SCRL1+SCRL2)/3</f>
        <v>99.442694999999986</v>
      </c>
      <c r="CR97" s="256" t="str">
        <f>IF(CO97&lt;'Look Ups'!$AC$4,"Yes","No")</f>
        <v>Yes</v>
      </c>
      <c r="CS97" s="267">
        <f>IF(CR97="Yes",MIN(150,('Look Ups'!$AC$4-PSCR)/('Look Ups'!$AC$4-'Look Ups'!$AC$3)*100),0)</f>
        <v>32.727272727272947</v>
      </c>
      <c r="CT97" s="83"/>
      <c r="CU97" s="91"/>
      <c r="CV97" s="91"/>
      <c r="CW97" s="91"/>
      <c r="CX97" s="256" t="str">
        <f>IF(USCRF&gt;0,USCRMG/USCRF*100,"")</f>
        <v/>
      </c>
      <c r="CY97" s="293">
        <f>IF(PUSCR&lt;'Look Ups'!$AC$4,MIN(150,('Look Ups'!$AC$4-PUSCR)/('Look Ups'!$AC$4-'Look Ups'!$AC$3)*100),0)</f>
        <v>0</v>
      </c>
      <c r="CZ97" s="275">
        <f>IF(PUSCR&lt;'Look Ups'!$AC$4,USCRF*(USCRL1+USCRL2)/4+(USCRMG-USCRF/2)*(USCRL1+USCRL2)/3,0)</f>
        <v>0</v>
      </c>
      <c r="DA97" s="294">
        <f>IF(ZVAL=1,1,IF(LPM&gt;0,0.64*((AM+MAM)/(E+(MC/2))^2)^0.3,0))</f>
        <v>1</v>
      </c>
      <c r="DB97" s="256">
        <f>0.65*((AM+MAM)*EFM)+0.35*((AM+MAM)*ZVAL)</f>
        <v>76.73105000000001</v>
      </c>
      <c r="DC97" s="256">
        <f>IF(ZVAL=1,1,IF(LPG&gt;0,0.72*(AG/(LPG^2))^0.3,0))</f>
        <v>1</v>
      </c>
      <c r="DD97" s="256">
        <f>AG*EFG</f>
        <v>54.589110000000005</v>
      </c>
      <c r="DE97" s="256">
        <f>IF(AZ97&gt;0,'Look Ups'!$S$3,0)</f>
        <v>1</v>
      </c>
      <c r="DF97" s="256">
        <f>IF(LPS&gt;0,0.72*(AS/(LPS^2))^0.3,0)</f>
        <v>0</v>
      </c>
      <c r="DG97" s="256">
        <f>EFS*AS</f>
        <v>0</v>
      </c>
      <c r="DH97" s="256">
        <f>IF(LPD&gt;0,0.72*(AD/(LPD^2))^0.3,0)</f>
        <v>0</v>
      </c>
      <c r="DI97" s="280">
        <f>IF((AD-AG)&gt;0,0.3*(AD-AG)*EFD,0)</f>
        <v>0</v>
      </c>
      <c r="DJ97" s="295" t="str">
        <f>IF((SCRF=0),"-",IF(AND(MSASC&gt;AG,SCRMG&lt;(0.75*SCRF)),"valid","ERROR"))</f>
        <v>valid</v>
      </c>
      <c r="DK97" s="266" t="str">
        <f>IF((SF=0),"-",IF((SMG&lt;(0.75*SF)),"ERROR",IF(AND(MSASP&gt;MSASC,MSASP&gt;AG,MSASP&gt;=0.36*RSAM),"valid","Small")))</f>
        <v>valid</v>
      </c>
      <c r="DL97" s="267" t="str">
        <f>IF(C97="","",CONCATENATE("MG",IF(FLSCR="valid","Scr",""),IF(FLSPI="valid","SP","")))</f>
        <v>MGScrSP</v>
      </c>
      <c r="DM97" s="294">
        <f>RSAM+RSAG</f>
        <v>131.32016000000002</v>
      </c>
      <c r="DN97" s="256">
        <f>IF(MSASP&gt;0,'Look Ups'!$AI$4*(ZVAL*MSASP-RSAG),0)</f>
        <v>43.092594000000005</v>
      </c>
      <c r="DO97" s="256">
        <f>IF(AND(MSASC&gt;0,(MSASC&gt;=0.36*RSAM)),('Look Ups'!$AI$3*(ZVAL*MSASC-RSAG)),(0))</f>
        <v>15.698754749999992</v>
      </c>
      <c r="DP97" s="256">
        <f>IF(MSASP&gt;0,'Look Ups'!$AI$5*(ZVAL*MSASP-RSAG),0)</f>
        <v>40.219754400000006</v>
      </c>
      <c r="DQ97" s="256">
        <f>IF(MSASC&gt;0,'Look Ups'!$AI$6*(MSASC-RSAG),0)</f>
        <v>3.1397509499999989</v>
      </c>
      <c r="DR97" s="280">
        <f>'Look Ups'!$AI$7*MAX(IF(MSAUSC&gt;0,EUSC/100*(MSAUSC-RSAG),0),IF(CR97="Yes",ELSC/100*(MSASC-RSAG),0))</f>
        <v>3.6698387727272959</v>
      </c>
      <c r="DS97" s="280">
        <f>0.36*RSAM</f>
        <v>27.623178000000003</v>
      </c>
      <c r="DT97" s="296">
        <f>_xlfn.IFS(SPC="MG",RAMG+DS97,SPC="MGScr",RAMG+RASCO,SPC="MGSp",RAMG+RASPO,SPC="MGScrSp",RAMG+RASPSC+RASCR)+RAUSC+RSAST+RSAD+RSAMZ+RSA2M</f>
        <v>178.34950412272732</v>
      </c>
      <c r="DU97" s="63"/>
    </row>
    <row r="98" spans="1:125" ht="15.6" customHeight="1" x14ac:dyDescent="0.3">
      <c r="A98" s="4"/>
      <c r="B98" s="64"/>
      <c r="C98" s="64" t="s">
        <v>422</v>
      </c>
      <c r="D98" s="101" t="s">
        <v>423</v>
      </c>
      <c r="E98" s="86" t="s">
        <v>424</v>
      </c>
      <c r="F98" s="252">
        <f ca="1">IF(RW=0,0,ROUND(DLF*0.93*RL^LF*RSA^0.4/RW^0.325,3))</f>
        <v>0.66400000000000003</v>
      </c>
      <c r="G98" s="252" t="str">
        <f ca="1">IF(OR(FLSCR="ERROR",FLSPI="ERROR"),"No",IF(TODAY()-'Look Ups'!$D$4*365&gt;I98,"WP Applied","Yes"))</f>
        <v>Yes</v>
      </c>
      <c r="H98" s="253" t="str">
        <f>IF(SPC="","",CONCATENATE("Main-Genoa",IF(FLSCR="valid",IF(OR(CR98="Yes",MSAUSC&gt;0),"-Screacher (Upwind)","-Screacher"),""),IF(FLSPI="valid","-Spinnaker",""),IF(RSAMZ&gt;0,"-Mizzen",""),IF(RSA2M&gt;0,"-Second Main",""),IF(AS&gt;0,"-Staysail",""),IF(AD&gt;0,"-Drifter","")))</f>
        <v>Main-Genoa-Screacher</v>
      </c>
      <c r="I98" s="1">
        <v>42767</v>
      </c>
      <c r="J98" s="1">
        <v>42825</v>
      </c>
      <c r="K98" s="87" t="s">
        <v>425</v>
      </c>
      <c r="L98" s="87" t="s">
        <v>142</v>
      </c>
      <c r="M98" s="207"/>
      <c r="N98" s="97" t="s">
        <v>165</v>
      </c>
      <c r="O98" s="97"/>
      <c r="P98" s="102"/>
      <c r="Q98" s="90">
        <v>14.04</v>
      </c>
      <c r="R98" s="87"/>
      <c r="S98" s="256">
        <f>IF((LOAA&gt;LOA),0.025*LOAA,0.025*LOA)</f>
        <v>0.35099999999999998</v>
      </c>
      <c r="T98" s="91"/>
      <c r="U98" s="91">
        <v>0</v>
      </c>
      <c r="V98" s="258">
        <f>IF((_xlfn.SINGLE(LOAA)&gt;_xlfn.SINGLE(LOA)),_xlfn.SINGLE(LOAA),_xlfn.SINGLE(LOA)-_xlfn.SINGLE(FOC)-_xlfn.SINGLE(AOC))</f>
        <v>14.04</v>
      </c>
      <c r="W98" s="259">
        <f>IF(RL&gt;0,IF(RL&gt;'Look Ups'!Y$7,'Look Ups'!Y$8,('Look Ups'!Y$3*RL^3+'Look Ups'!Y$4*RL^2+'Look Ups'!Y$5*RL+'Look Ups'!Y$6)),0)</f>
        <v>0.3</v>
      </c>
      <c r="X98" s="92">
        <v>14306</v>
      </c>
      <c r="Y98" s="262">
        <f ca="1">IF(WDATE&lt;(TODAY()-'Look Ups'!$D$4*365),-WM*'Look Ups'!$D$5/100,0)</f>
        <v>0</v>
      </c>
      <c r="Z98" s="93"/>
      <c r="AA98" s="93"/>
      <c r="AB98" s="75"/>
      <c r="AC98" s="265">
        <f>WCD+NC*'Look Ups'!$AF$3</f>
        <v>0</v>
      </c>
      <c r="AD98" s="265">
        <f ca="1">IF(RL&lt;'Look Ups'!AM$3,'Look Ups'!AM$4,IF(RL&gt;'Look Ups'!AM$5,'Look Ups'!AM$6,(RL-'Look Ups'!AM$3)/('Look Ups'!AM$5-'Look Ups'!AM$3)*('Look Ups'!AM$6-'Look Ups'!AM$4)+'Look Ups'!AM$4))/100*WS</f>
        <v>1430.6000000000001</v>
      </c>
      <c r="AE98" s="266">
        <f ca="1">WM+WP+WE</f>
        <v>14306</v>
      </c>
      <c r="AF98" s="267">
        <f ca="1">_xlfn.SINGLE(WS)+IF(_xlfn.SINGLE(TCW)&gt;=_xlfn.SINGLE(CWA),_xlfn.SINGLE(CWA),_xlfn.SINGLE(TCW))</f>
        <v>14306</v>
      </c>
      <c r="AG98" s="94" t="s">
        <v>145</v>
      </c>
      <c r="AH98" s="95" t="s">
        <v>146</v>
      </c>
      <c r="AI98" s="96" t="s">
        <v>177</v>
      </c>
      <c r="AJ98" s="218"/>
      <c r="AK98" s="273">
        <f>IF(C98="",0,VLOOKUP(AG98,'Look Ups'!$F$3:$G$6,2,0)*VLOOKUP(AH98,'Look Ups'!$I$3:$J$5,2,0)*VLOOKUP(AI98,'Look Ups'!$L$3:$M$7,2,0)*IF(AJ98="",1,VLOOKUP(AJ98,'Look Ups'!$O$3:$P$4,2,0)))</f>
        <v>0.99</v>
      </c>
      <c r="AL98" s="83">
        <v>17.46</v>
      </c>
      <c r="AM98" s="91">
        <v>17.38</v>
      </c>
      <c r="AN98" s="91">
        <v>6.72</v>
      </c>
      <c r="AO98" s="91">
        <v>0.17</v>
      </c>
      <c r="AP98" s="91">
        <v>0.84899999999999998</v>
      </c>
      <c r="AQ98" s="91">
        <v>17.45</v>
      </c>
      <c r="AR98" s="91">
        <v>0.18</v>
      </c>
      <c r="AS98" s="91">
        <v>6.88</v>
      </c>
      <c r="AT98" s="91">
        <v>0.11</v>
      </c>
      <c r="AU98" s="91"/>
      <c r="AV98" s="91" t="s">
        <v>148</v>
      </c>
      <c r="AW98" s="97">
        <v>0</v>
      </c>
      <c r="AX98" s="256">
        <f>P+ER</f>
        <v>17.559999999999999</v>
      </c>
      <c r="AY98" s="256">
        <f>P*0.375*MC</f>
        <v>0</v>
      </c>
      <c r="AZ98" s="275">
        <f>IF(C98="",0,(0.5*(_ML1*LPM)+0.5*(_ML1*HB)+0.66*(P*PR)+0.66*(_ML2*RDM)+0.66*(E*ER))*VLOOKUP(BATT,'Look Ups'!$U$3:$V$4,2,0))</f>
        <v>72.460957199999996</v>
      </c>
      <c r="BA98" s="98"/>
      <c r="BB98" s="99"/>
      <c r="BC98" s="83">
        <v>15.96</v>
      </c>
      <c r="BD98" s="91">
        <v>7.03</v>
      </c>
      <c r="BE98" s="91">
        <v>8.1379999999999999</v>
      </c>
      <c r="BF98" s="91">
        <v>0.23</v>
      </c>
      <c r="BG98" s="91">
        <v>13.89</v>
      </c>
      <c r="BH98" s="91">
        <v>13.89</v>
      </c>
      <c r="BI98" s="91"/>
      <c r="BJ98" s="91">
        <v>-0.21</v>
      </c>
      <c r="BK98" s="91">
        <v>-0.05</v>
      </c>
      <c r="BL98" s="97">
        <v>0</v>
      </c>
      <c r="BM98" s="275">
        <f>(0.5*LL*LPG)+(0.5*_LG1*HG)+(0.66*LL*LLRG)+(0.66*FG*FRG)+(IF((HG&gt;0),(0.66*_LG2*LRG),(0.66*_LG1*LRG)))</f>
        <v>54.882914400000004</v>
      </c>
      <c r="BN98" s="282"/>
      <c r="BO98" s="283"/>
      <c r="BP98" s="284"/>
      <c r="BQ98" s="284"/>
      <c r="BR98" s="283"/>
      <c r="BS98" s="284"/>
      <c r="BT98" s="284"/>
      <c r="BU98" s="280">
        <f>(0.5*LLS*LPS)+(0.66*LLS*LLRS)+(0.66*LS*LRS)+(0.66*FS*FRS)</f>
        <v>0</v>
      </c>
      <c r="BV98" s="285"/>
      <c r="BW98" s="283"/>
      <c r="BX98" s="283"/>
      <c r="BY98" s="283"/>
      <c r="BZ98" s="283"/>
      <c r="CA98" s="283"/>
      <c r="CB98" s="283"/>
      <c r="CC98" s="275">
        <f>(0.5*LLD*LPD)+(0.66*LLD*LLRD)+(0.66*LCHD*LRD)+(0.66*FD*FRD)</f>
        <v>0</v>
      </c>
      <c r="CD98" s="98"/>
      <c r="CE98" s="91"/>
      <c r="CF98" s="91"/>
      <c r="CG98" s="91"/>
      <c r="CH98" s="266" t="str">
        <f>IF(SF&gt;0,SMG/SF*100,"")</f>
        <v/>
      </c>
      <c r="CI98" s="286"/>
      <c r="CJ98" s="280">
        <f>SF*(_SL1+_SL2)/4+(SMG-SF/2)*(_SL1+_SL2)/3</f>
        <v>0</v>
      </c>
      <c r="CK98" s="83">
        <v>9.8000000000000007</v>
      </c>
      <c r="CL98" s="91">
        <v>17.850000000000001</v>
      </c>
      <c r="CM98" s="91">
        <v>15.35</v>
      </c>
      <c r="CN98" s="91">
        <v>7</v>
      </c>
      <c r="CO98" s="256">
        <f>IF(SCRF&gt;0,SCRMG/SCRF*100,"")</f>
        <v>71.428571428571416</v>
      </c>
      <c r="CP98" s="286"/>
      <c r="CQ98" s="256">
        <f>SCRF*(SCRL1+SCRL2)/4+(SCRMG-SCRF/2)*(SCRL1+SCRL2)/3</f>
        <v>104.58000000000001</v>
      </c>
      <c r="CR98" s="256" t="str">
        <f>IF(CO98&lt;'Look Ups'!$AC$4,"Yes","No")</f>
        <v>No</v>
      </c>
      <c r="CS98" s="267">
        <f>IF(CR98="Yes",MIN(150,('Look Ups'!$AC$4-PSCR)/('Look Ups'!$AC$4-'Look Ups'!$AC$3)*100),0)</f>
        <v>0</v>
      </c>
      <c r="CT98" s="83"/>
      <c r="CU98" s="91"/>
      <c r="CV98" s="91"/>
      <c r="CW98" s="91"/>
      <c r="CX98" s="256" t="str">
        <f>IF(USCRF&gt;0,USCRMG/USCRF*100,"")</f>
        <v/>
      </c>
      <c r="CY98" s="293">
        <f>IF(PUSCR&lt;'Look Ups'!$AC$4,MIN(150,('Look Ups'!$AC$4-PUSCR)/('Look Ups'!$AC$4-'Look Ups'!$AC$3)*100),0)</f>
        <v>0</v>
      </c>
      <c r="CZ98" s="275">
        <f>IF(PUSCR&lt;'Look Ups'!$AC$4,USCRF*(USCRL1+USCRL2)/4+(USCRMG-USCRF/2)*(USCRL1+USCRL2)/3,0)</f>
        <v>0</v>
      </c>
      <c r="DA98" s="294">
        <f>IF(ZVAL=1,1,IF(LPM&gt;0,0.64*((AM+MAM)/(E+(MC/2))^2)^0.3,0))</f>
        <v>1</v>
      </c>
      <c r="DB98" s="256">
        <f>0.65*((AM+MAM)*EFM)+0.35*((AM+MAM)*ZVAL)</f>
        <v>72.460957199999996</v>
      </c>
      <c r="DC98" s="256">
        <f>IF(ZVAL=1,1,IF(LPG&gt;0,0.72*(AG/(LPG^2))^0.3,0))</f>
        <v>1</v>
      </c>
      <c r="DD98" s="256">
        <f>AG*EFG</f>
        <v>54.882914400000004</v>
      </c>
      <c r="DE98" s="256">
        <f>IF(AZ98&gt;0,'Look Ups'!$S$3,0)</f>
        <v>1</v>
      </c>
      <c r="DF98" s="256">
        <f>IF(LPS&gt;0,0.72*(AS/(LPS^2))^0.3,0)</f>
        <v>0</v>
      </c>
      <c r="DG98" s="256">
        <f>EFS*AS</f>
        <v>0</v>
      </c>
      <c r="DH98" s="256">
        <f>IF(LPD&gt;0,0.72*(AD/(LPD^2))^0.3,0)</f>
        <v>0</v>
      </c>
      <c r="DI98" s="280">
        <f>IF((AD-AG)&gt;0,0.3*(AD-AG)*EFD,0)</f>
        <v>0</v>
      </c>
      <c r="DJ98" s="295" t="str">
        <f>IF((SCRF=0),"-",IF(AND(MSASC&gt;AG,SCRMG&lt;(0.75*SCRF)),"valid","ERROR"))</f>
        <v>valid</v>
      </c>
      <c r="DK98" s="266" t="str">
        <f>IF((SF=0),"-",IF((SMG&lt;(0.75*SF)),"ERROR",IF(AND(MSASP&gt;MSASC,MSASP&gt;AG,MSASP&gt;=0.36*RSAM),"valid","Small")))</f>
        <v>-</v>
      </c>
      <c r="DL98" s="267" t="str">
        <f>IF(C98="","",CONCATENATE("MG",IF(FLSCR="valid","Scr",""),IF(FLSPI="valid","SP","")))</f>
        <v>MGScr</v>
      </c>
      <c r="DM98" s="294">
        <f>RSAM+RSAG</f>
        <v>127.3438716</v>
      </c>
      <c r="DN98" s="256">
        <f>IF(MSASP&gt;0,'Look Ups'!$AI$4*(ZVAL*MSASP-RSAG),0)</f>
        <v>0</v>
      </c>
      <c r="DO98" s="256">
        <f>IF(AND(MSASC&gt;0,(MSASC&gt;=0.36*RSAM)),('Look Ups'!$AI$3*(ZVAL*MSASC-RSAG)),(0))</f>
        <v>17.393979960000003</v>
      </c>
      <c r="DP98" s="256">
        <f>IF(MSASP&gt;0,'Look Ups'!$AI$5*(ZVAL*MSASP-RSAG),0)</f>
        <v>0</v>
      </c>
      <c r="DQ98" s="256">
        <f>IF(MSASC&gt;0,'Look Ups'!$AI$6*(MSASC-RSAG),0)</f>
        <v>3.4787959920000011</v>
      </c>
      <c r="DR98" s="280">
        <f>'Look Ups'!$AI$7*MAX(IF(MSAUSC&gt;0,EUSC/100*(MSAUSC-RSAG),0),IF(CR98="Yes",ELSC/100*(MSASC-RSAG),0))</f>
        <v>0</v>
      </c>
      <c r="DS98" s="280">
        <f>0.36*RSAM</f>
        <v>26.085944591999997</v>
      </c>
      <c r="DT98" s="296">
        <f>_xlfn.IFS(SPC="MG",RAMG+DS98,SPC="MGScr",RAMG+RASCO,SPC="MGSp",RAMG+RASPO,SPC="MGScrSp",RAMG+RASPSC+RASCR)+RAUSC+RSAST+RSAD+RSAMZ+RSA2M</f>
        <v>144.73785156</v>
      </c>
      <c r="DU98" s="63"/>
    </row>
    <row r="99" spans="1:125" ht="15.6" customHeight="1" x14ac:dyDescent="0.3">
      <c r="A99" s="4"/>
      <c r="B99" s="64"/>
      <c r="C99" s="84" t="s">
        <v>867</v>
      </c>
      <c r="D99" s="112" t="s">
        <v>1140</v>
      </c>
      <c r="E99" s="113" t="s">
        <v>1141</v>
      </c>
      <c r="F99" s="252">
        <f ca="1">IF(RW=0,0,ROUND(DLF*0.93*RL^LF*RSA^0.4/RW^0.325,3))</f>
        <v>0.92400000000000004</v>
      </c>
      <c r="G99" s="252" t="str">
        <f ca="1">IF(OR(FLSCR="ERROR",FLSPI="ERROR"),"No",IF(TODAY()-'Look Ups'!$D$4*365&gt;I99,"WP Applied","Yes"))</f>
        <v>Yes</v>
      </c>
      <c r="H99" s="254" t="str">
        <f>IF(SPC="","",CONCATENATE("Main-Genoa",IF(FLSCR="valid",IF(OR(CR99="Yes",MSAUSC&gt;0),"-Screacher (Upwind)","-Screacher"),""),IF(FLSPI="valid","-Spinnaker",""),IF(RSAMZ&gt;0,"-Mizzen",""),IF(RSA2M&gt;0,"-Second Main",""),IF(AS&gt;0,"-Staysail",""),IF(AD&gt;0,"-Drifter","")))</f>
        <v>Main-Genoa-Screacher (Upwind)-Spinnaker</v>
      </c>
      <c r="I99" s="126">
        <v>45115</v>
      </c>
      <c r="J99" s="126">
        <v>45124</v>
      </c>
      <c r="K99" s="127" t="s">
        <v>974</v>
      </c>
      <c r="L99" s="127" t="s">
        <v>245</v>
      </c>
      <c r="M99" s="210"/>
      <c r="N99" s="140" t="s">
        <v>143</v>
      </c>
      <c r="O99" s="140" t="s">
        <v>154</v>
      </c>
      <c r="P99" s="141"/>
      <c r="Q99" s="130">
        <v>10.1</v>
      </c>
      <c r="R99" s="127"/>
      <c r="S99" s="257">
        <f>IF((LOAA&gt;LOA),0.025*LOAA,0.025*LOA)</f>
        <v>0.2525</v>
      </c>
      <c r="T99" s="131">
        <v>0</v>
      </c>
      <c r="U99" s="131">
        <v>0</v>
      </c>
      <c r="V99" s="260">
        <f>IF((_xlfn.SINGLE(LOAA)&gt;_xlfn.SINGLE(LOA)),_xlfn.SINGLE(LOAA),_xlfn.SINGLE(LOA)-_xlfn.SINGLE(FOC)-_xlfn.SINGLE(AOC))</f>
        <v>10.1</v>
      </c>
      <c r="W99" s="261">
        <f>IF(RL&gt;0,IF(RL&gt;'Look Ups'!Y$7,'Look Ups'!Y$8,('Look Ups'!Y$3*RL^3+'Look Ups'!Y$4*RL^2+'Look Ups'!Y$5*RL+'Look Ups'!Y$6)),0)</f>
        <v>0.29863593300000002</v>
      </c>
      <c r="X99" s="132">
        <v>2155</v>
      </c>
      <c r="Y99" s="264">
        <f ca="1">IF(WDATE&lt;(TODAY()-'Look Ups'!$D$4*365),-WM*'Look Ups'!$D$5/100,0)</f>
        <v>0</v>
      </c>
      <c r="Z99" s="133"/>
      <c r="AA99" s="133"/>
      <c r="AB99" s="224"/>
      <c r="AC99" s="271">
        <f>WCD+NC*'Look Ups'!$AF$3</f>
        <v>0</v>
      </c>
      <c r="AD99" s="271">
        <f ca="1">IF(RL&lt;'Look Ups'!AM$3,'Look Ups'!AM$4,IF(RL&gt;'Look Ups'!AM$5,'Look Ups'!AM$6,(RL-'Look Ups'!AM$3)/('Look Ups'!AM$5-'Look Ups'!AM$3)*('Look Ups'!AM$6-'Look Ups'!AM$4)+'Look Ups'!AM$4))/100*WS</f>
        <v>380.06363636363636</v>
      </c>
      <c r="AE99" s="271">
        <f ca="1">WM+WP+WE</f>
        <v>2155</v>
      </c>
      <c r="AF99" s="272">
        <f ca="1">_xlfn.SINGLE(WS)+IF(_xlfn.SINGLE(TCW)&gt;=_xlfn.SINGLE(CWA),_xlfn.SINGLE(CWA),_xlfn.SINGLE(TCW))</f>
        <v>2155</v>
      </c>
      <c r="AG99" s="134" t="s">
        <v>145</v>
      </c>
      <c r="AH99" s="135" t="s">
        <v>146</v>
      </c>
      <c r="AI99" s="124" t="s">
        <v>147</v>
      </c>
      <c r="AJ99" s="219"/>
      <c r="AK99" s="274">
        <f>IF(C99="",0,VLOOKUP(AG99,'Look Ups'!$F$3:$G$6,2,0)*VLOOKUP(AH99,'Look Ups'!$I$3:$J$5,2,0)*VLOOKUP(AI99,'Look Ups'!$L$3:$M$7,2,0)*IF(AJ99="",1,VLOOKUP(AJ99,'Look Ups'!$O$3:$P$4,2,0)))</f>
        <v>1</v>
      </c>
      <c r="AL99" s="136">
        <v>13.49</v>
      </c>
      <c r="AM99" s="131">
        <v>13.11</v>
      </c>
      <c r="AN99" s="131">
        <v>4.13</v>
      </c>
      <c r="AO99" s="131">
        <v>1.43</v>
      </c>
      <c r="AP99" s="131">
        <v>0.68</v>
      </c>
      <c r="AQ99" s="131">
        <v>12.79</v>
      </c>
      <c r="AR99" s="131">
        <v>0.05</v>
      </c>
      <c r="AS99" s="131">
        <v>4.33</v>
      </c>
      <c r="AT99" s="131">
        <v>0</v>
      </c>
      <c r="AU99" s="131">
        <v>0</v>
      </c>
      <c r="AV99" s="131" t="s">
        <v>148</v>
      </c>
      <c r="AW99" s="128">
        <v>0</v>
      </c>
      <c r="AX99" s="257">
        <f>P+ER</f>
        <v>12.79</v>
      </c>
      <c r="AY99" s="257">
        <f>P*0.375*MC</f>
        <v>0</v>
      </c>
      <c r="AZ99" s="276">
        <f>IF(C99="",0,(0.5*(_ML1*LPM)+0.5*(_ML1*HB)+0.66*(P*PR)+0.66*(_ML2*RDM)+0.66*(E*ER))*VLOOKUP(BATT,'Look Ups'!$U$3:$V$4,2,0))</f>
        <v>43.808037999999996</v>
      </c>
      <c r="BA99" s="137"/>
      <c r="BB99" s="138"/>
      <c r="BC99" s="227">
        <v>11.17</v>
      </c>
      <c r="BD99" s="228">
        <v>3.83</v>
      </c>
      <c r="BE99" s="228">
        <v>4.21</v>
      </c>
      <c r="BF99" s="228">
        <v>0.02</v>
      </c>
      <c r="BG99" s="228">
        <v>9.9700000000000006</v>
      </c>
      <c r="BH99" s="228">
        <v>9.94</v>
      </c>
      <c r="BI99" s="228">
        <v>0.05</v>
      </c>
      <c r="BJ99" s="228">
        <v>0.05</v>
      </c>
      <c r="BK99" s="228">
        <v>0.04</v>
      </c>
      <c r="BL99" s="128">
        <v>0</v>
      </c>
      <c r="BM99" s="276">
        <f>(0.5*LL*LPG)+(0.5*_LG1*HG)+(0.66*LL*LLRG)+(0.66*FG*FRG)+(IF((HG&gt;0),(0.66*_LG2*LRG),(0.66*_LG1*LRG)))</f>
        <v>22.318280000000001</v>
      </c>
      <c r="BN99" s="287"/>
      <c r="BO99" s="288"/>
      <c r="BP99" s="289"/>
      <c r="BQ99" s="289"/>
      <c r="BR99" s="288"/>
      <c r="BS99" s="289"/>
      <c r="BT99" s="289"/>
      <c r="BU99" s="290">
        <f>(0.5*LLS*LPS)+(0.66*LLS*LLRS)+(0.66*LS*LRS)+(0.66*FS*FRS)</f>
        <v>0</v>
      </c>
      <c r="BV99" s="285"/>
      <c r="BW99" s="283"/>
      <c r="BX99" s="283"/>
      <c r="BY99" s="283"/>
      <c r="BZ99" s="283"/>
      <c r="CA99" s="283"/>
      <c r="CB99" s="283"/>
      <c r="CC99" s="276">
        <f>(0.5*LLD*LPD)+(0.66*LLD*LLRD)+(0.66*LCHD*LRD)+(0.66*FD*FRD)</f>
        <v>0</v>
      </c>
      <c r="CD99" s="137">
        <v>9.6199999999999992</v>
      </c>
      <c r="CE99" s="131">
        <v>14.48</v>
      </c>
      <c r="CF99" s="131">
        <v>12.95</v>
      </c>
      <c r="CG99" s="131">
        <v>7.84</v>
      </c>
      <c r="CH99" s="271">
        <f>IF(SF&gt;0,SMG/SF*100,"")</f>
        <v>81.4968814968815</v>
      </c>
      <c r="CI99" s="292"/>
      <c r="CJ99" s="290">
        <f>SF*(_SL1+_SL2)/4+(SMG-SF/2)*(_SL1+_SL2)/3</f>
        <v>93.673450000000003</v>
      </c>
      <c r="CK99" s="227">
        <v>7.7</v>
      </c>
      <c r="CL99" s="228">
        <v>12.68</v>
      </c>
      <c r="CM99" s="228">
        <v>11.08</v>
      </c>
      <c r="CN99" s="228">
        <v>3.9</v>
      </c>
      <c r="CO99" s="257">
        <f>IF(SCRF&gt;0,SCRMG/SCRF*100,"")</f>
        <v>50.649350649350644</v>
      </c>
      <c r="CP99" s="292"/>
      <c r="CQ99" s="257">
        <f>SCRF*(SCRL1+SCRL2)/4+(SCRMG-SCRF/2)*(SCRL1+SCRL2)/3</f>
        <v>46.134</v>
      </c>
      <c r="CR99" s="257" t="str">
        <f>IF(CO99&lt;'Look Ups'!$AC$4,"Yes","No")</f>
        <v>Yes</v>
      </c>
      <c r="CS99" s="272">
        <f>IF(CR99="Yes",MIN(150,('Look Ups'!$AC$4-PSCR)/('Look Ups'!$AC$4-'Look Ups'!$AC$3)*100),0)</f>
        <v>27.012987012987111</v>
      </c>
      <c r="CT99" s="227"/>
      <c r="CU99" s="228"/>
      <c r="CV99" s="228"/>
      <c r="CW99" s="228"/>
      <c r="CX99" s="257" t="str">
        <f>IF(USCRF&gt;0,USCRMG/USCRF*100,"")</f>
        <v/>
      </c>
      <c r="CY99" s="297">
        <f>IF(PUSCR&lt;'Look Ups'!$AC$4,MIN(150,('Look Ups'!$AC$4-PUSCR)/('Look Ups'!$AC$4-'Look Ups'!$AC$3)*100),0)</f>
        <v>0</v>
      </c>
      <c r="CZ99" s="276">
        <f>IF(PUSCR&lt;'Look Ups'!$AC$4,USCRF*(USCRL1+USCRL2)/4+(USCRMG-USCRF/2)*(USCRL1+USCRL2)/3,0)</f>
        <v>0</v>
      </c>
      <c r="DA99" s="298">
        <f>IF(ZVAL=1,1,IF(LPM&gt;0,0.64*((AM+MAM)/(E+(MC/2))^2)^0.3,0))</f>
        <v>1</v>
      </c>
      <c r="DB99" s="257">
        <f>0.65*((AM+MAM)*EFM)+0.35*((AM+MAM)*ZVAL)</f>
        <v>43.808037999999996</v>
      </c>
      <c r="DC99" s="257">
        <f>IF(ZVAL=1,1,IF(LPG&gt;0,0.72*(AG/(LPG^2))^0.3,0))</f>
        <v>1</v>
      </c>
      <c r="DD99" s="257">
        <f>AG*EFG</f>
        <v>22.318280000000001</v>
      </c>
      <c r="DE99" s="257">
        <f>IF(AZ99&gt;0,'Look Ups'!$S$3,0)</f>
        <v>1</v>
      </c>
      <c r="DF99" s="257">
        <f>IF(LPS&gt;0,0.72*(AS/(LPS^2))^0.3,0)</f>
        <v>0</v>
      </c>
      <c r="DG99" s="257">
        <f>EFS*AS</f>
        <v>0</v>
      </c>
      <c r="DH99" s="257">
        <f>IF(LPD&gt;0,0.72*(AD/(LPD^2))^0.3,0)</f>
        <v>0</v>
      </c>
      <c r="DI99" s="290">
        <f>IF((AD-AG)&gt;0,0.3*(AD-AG)*EFD,0)</f>
        <v>0</v>
      </c>
      <c r="DJ99" s="299" t="str">
        <f>IF((SCRF=0),"-",IF(AND(MSASC&gt;AG,SCRMG&lt;(0.75*SCRF)),"valid","ERROR"))</f>
        <v>valid</v>
      </c>
      <c r="DK99" s="271" t="str">
        <f>IF((SF=0),"-",IF((SMG&lt;(0.75*SF)),"ERROR",IF(AND(MSASP&gt;MSASC,MSASP&gt;AG,MSASP&gt;=0.36*RSAM),"valid","Small")))</f>
        <v>valid</v>
      </c>
      <c r="DL99" s="272" t="str">
        <f>IF(C99="","",CONCATENATE("MG",IF(FLSCR="valid","Scr",""),IF(FLSPI="valid","SP","")))</f>
        <v>MGScrSP</v>
      </c>
      <c r="DM99" s="298">
        <f>RSAM+RSAG</f>
        <v>66.126317999999998</v>
      </c>
      <c r="DN99" s="257">
        <f>IF(MSASP&gt;0,'Look Ups'!$AI$4*(ZVAL*MSASP-RSAG),0)</f>
        <v>21.406551</v>
      </c>
      <c r="DO99" s="257">
        <f>IF(AND(MSASC&gt;0,(MSASC&gt;=0.36*RSAM)),('Look Ups'!$AI$3*(ZVAL*MSASC-RSAG)),(0))</f>
        <v>8.335502</v>
      </c>
      <c r="DP99" s="257">
        <f>IF(MSASP&gt;0,'Look Ups'!$AI$5*(ZVAL*MSASP-RSAG),0)</f>
        <v>19.979447600000004</v>
      </c>
      <c r="DQ99" s="257">
        <f>IF(MSASC&gt;0,'Look Ups'!$AI$6*(MSASC-RSAG),0)</f>
        <v>1.6671004</v>
      </c>
      <c r="DR99" s="290">
        <f>'Look Ups'!$AI$7*MAX(IF(MSAUSC&gt;0,EUSC/100*(MSAUSC-RSAG),0),IF(CR99="Yes",ELSC/100*(MSASC-RSAG),0))</f>
        <v>1.6083343376623433</v>
      </c>
      <c r="DS99" s="290">
        <f>0.36*RSAM</f>
        <v>15.770893679999999</v>
      </c>
      <c r="DT99" s="300">
        <f>_xlfn.IFS(SPC="MG",RAMG+DS99,SPC="MGScr",RAMG+RASCO,SPC="MGSp",RAMG+RASPO,SPC="MGScrSp",RAMG+RASPSC+RASCR)+RAUSC+RSAST+RSAD+RSAMZ+RSA2M</f>
        <v>89.381200337662335</v>
      </c>
      <c r="DU99" s="63"/>
    </row>
    <row r="100" spans="1:125" ht="15.6" customHeight="1" x14ac:dyDescent="0.3">
      <c r="A100" s="4"/>
      <c r="B100" s="64"/>
      <c r="C100" s="64" t="s">
        <v>1176</v>
      </c>
      <c r="D100" s="101" t="s">
        <v>1177</v>
      </c>
      <c r="E100" s="86" t="s">
        <v>1178</v>
      </c>
      <c r="F100" s="252">
        <f ca="1">IF(RW=0,0,ROUND(DLF*0.93*RL^LF*RSA^0.4/RW^0.325,3))</f>
        <v>0.82499999999999996</v>
      </c>
      <c r="G100" s="252" t="str">
        <f ca="1">IF(OR(FLSCR="ERROR",FLSPI="ERROR"),"No",IF(TODAY()-'Look Ups'!$D$4*365&gt;I100,"WP Applied","Yes"))</f>
        <v>Yes</v>
      </c>
      <c r="H100" s="253" t="str">
        <f>IF(SPC="","",CONCATENATE("Main-Genoa",IF(FLSCR="valid",IF(OR(CR100="Yes",MSAUSC&gt;0),"-Screacher (Upwind)","-Screacher"),""),IF(FLSPI="valid","-Spinnaker",""),IF(RSAMZ&gt;0,"-Mizzen",""),IF(RSA2M&gt;0,"-Second Main",""),IF(AS&gt;0,"-Staysail",""),IF(AD&gt;0,"-Drifter","")))</f>
        <v>Main-Genoa-Screacher (Upwind)-Spinnaker</v>
      </c>
      <c r="I100" s="1">
        <v>45172</v>
      </c>
      <c r="J100" s="1">
        <v>45385</v>
      </c>
      <c r="K100" s="87" t="s">
        <v>206</v>
      </c>
      <c r="L100" s="87" t="s">
        <v>245</v>
      </c>
      <c r="M100" s="207"/>
      <c r="N100" s="97" t="s">
        <v>143</v>
      </c>
      <c r="O100" s="97" t="s">
        <v>144</v>
      </c>
      <c r="P100" s="102"/>
      <c r="Q100" s="90">
        <v>11.3</v>
      </c>
      <c r="R100" s="87"/>
      <c r="S100" s="256">
        <f>IF((LOAA&gt;LOA),0.025*LOAA,0.025*LOA)</f>
        <v>0.28250000000000003</v>
      </c>
      <c r="T100" s="91">
        <v>0</v>
      </c>
      <c r="U100" s="91"/>
      <c r="V100" s="258">
        <f>IF((_xlfn.SINGLE(LOAA)&gt;_xlfn.SINGLE(LOA)),_xlfn.SINGLE(LOAA),_xlfn.SINGLE(LOA)-_xlfn.SINGLE(FOC)-_xlfn.SINGLE(AOC))</f>
        <v>11.3</v>
      </c>
      <c r="W100" s="259">
        <f>IF(RL&gt;0,IF(RL&gt;'Look Ups'!Y$7,'Look Ups'!Y$8,('Look Ups'!Y$3*RL^3+'Look Ups'!Y$4*RL^2+'Look Ups'!Y$5*RL+'Look Ups'!Y$6)),0)</f>
        <v>0.29969960100000004</v>
      </c>
      <c r="X100" s="92">
        <v>4012</v>
      </c>
      <c r="Y100" s="262">
        <f ca="1">IF(WDATE&lt;(TODAY()-'Look Ups'!$D$4*365),-WM*'Look Ups'!$D$5/100,0)</f>
        <v>0</v>
      </c>
      <c r="Z100" s="93"/>
      <c r="AA100" s="225"/>
      <c r="AB100" s="231"/>
      <c r="AC100" s="270">
        <f>WCD+NC*'Look Ups'!$AF$3</f>
        <v>0</v>
      </c>
      <c r="AD100" s="265">
        <f ca="1">IF(RL&lt;'Look Ups'!AM$3,'Look Ups'!AM$4,IF(RL&gt;'Look Ups'!AM$5,'Look Ups'!AM$6,(RL-'Look Ups'!AM$3)/('Look Ups'!AM$5-'Look Ups'!AM$3)*('Look Ups'!AM$6-'Look Ups'!AM$4)+'Look Ups'!AM$4))/100*WS</f>
        <v>532.50181818181795</v>
      </c>
      <c r="AE100" s="266">
        <f ca="1">WM+WP+WE</f>
        <v>4012</v>
      </c>
      <c r="AF100" s="267">
        <f ca="1">_xlfn.SINGLE(WS)+IF(_xlfn.SINGLE(TCW)&gt;=_xlfn.SINGLE(CWA),_xlfn.SINGLE(CWA),_xlfn.SINGLE(TCW))</f>
        <v>4012</v>
      </c>
      <c r="AG100" s="94" t="s">
        <v>145</v>
      </c>
      <c r="AH100" s="95" t="s">
        <v>146</v>
      </c>
      <c r="AI100" s="96" t="s">
        <v>147</v>
      </c>
      <c r="AJ100" s="218"/>
      <c r="AK100" s="273">
        <f>IF(C100="",0,VLOOKUP(AG100,'Look Ups'!$F$3:$G$6,2,0)*VLOOKUP(AH100,'Look Ups'!$I$3:$J$5,2,0)*VLOOKUP(AI100,'Look Ups'!$L$3:$M$7,2,0)*IF(AJ100="",1,VLOOKUP(AJ100,'Look Ups'!$O$3:$P$4,2,0)))</f>
        <v>1</v>
      </c>
      <c r="AL100" s="83">
        <v>13.35</v>
      </c>
      <c r="AM100" s="91">
        <v>12.94</v>
      </c>
      <c r="AN100" s="91">
        <v>4.58</v>
      </c>
      <c r="AO100" s="91">
        <v>1.42</v>
      </c>
      <c r="AP100" s="91">
        <v>0.49199999999999999</v>
      </c>
      <c r="AQ100" s="91">
        <v>12.56</v>
      </c>
      <c r="AR100" s="91">
        <v>0.1</v>
      </c>
      <c r="AS100" s="91">
        <v>4.8499999999999996</v>
      </c>
      <c r="AT100" s="91">
        <v>0.02</v>
      </c>
      <c r="AU100" s="91">
        <v>0.22</v>
      </c>
      <c r="AV100" s="91" t="s">
        <v>148</v>
      </c>
      <c r="AW100" s="97"/>
      <c r="AX100" s="256">
        <f>P+ER</f>
        <v>12.58</v>
      </c>
      <c r="AY100" s="256">
        <f>P*0.375*MC</f>
        <v>1.0362</v>
      </c>
      <c r="AZ100" s="275">
        <f>IF(C100="",0,(0.5*(_ML1*LPM)+0.5*(_ML1*HB)+0.66*(P*PR)+0.66*(_ML2*RDM)+0.66*(E*ER))*VLOOKUP(BATT,'Look Ups'!$U$3:$V$4,2,0))</f>
        <v>45.144856799999999</v>
      </c>
      <c r="BA100" s="98"/>
      <c r="BB100" s="99"/>
      <c r="BC100" s="83">
        <v>11.03</v>
      </c>
      <c r="BD100" s="91">
        <v>4.9800000000000004</v>
      </c>
      <c r="BE100" s="91">
        <v>5.41</v>
      </c>
      <c r="BF100" s="91">
        <v>8.6999999999999994E-2</v>
      </c>
      <c r="BG100" s="91">
        <v>9.9600000000000009</v>
      </c>
      <c r="BH100" s="91">
        <v>9.92</v>
      </c>
      <c r="BI100" s="91">
        <v>5.2999999999999999E-2</v>
      </c>
      <c r="BJ100" s="91">
        <v>9.9000000000000005E-2</v>
      </c>
      <c r="BK100" s="91">
        <v>5.7000000000000002E-2</v>
      </c>
      <c r="BL100" s="97"/>
      <c r="BM100" s="275">
        <f>(0.5*LL*LPG)+(0.5*_LG1*HG)+(0.66*LL*LLRG)+(0.66*FG*FRG)+(IF((HG&gt;0),(0.66*_LG2*LRG),(0.66*_LG1*LRG)))</f>
        <v>29.102403600000002</v>
      </c>
      <c r="BN100" s="282"/>
      <c r="BO100" s="283"/>
      <c r="BP100" s="284"/>
      <c r="BQ100" s="284"/>
      <c r="BR100" s="283"/>
      <c r="BS100" s="284"/>
      <c r="BT100" s="284"/>
      <c r="BU100" s="280">
        <f>(0.5*LLS*LPS)+(0.66*LLS*LLRS)+(0.66*LS*LRS)+(0.66*FS*FRS)</f>
        <v>0</v>
      </c>
      <c r="BV100" s="285"/>
      <c r="BW100" s="283"/>
      <c r="BX100" s="283"/>
      <c r="BY100" s="283"/>
      <c r="BZ100" s="283"/>
      <c r="CA100" s="283"/>
      <c r="CB100" s="283"/>
      <c r="CC100" s="275">
        <f>(0.5*LLD*LPD)+(0.66*LLD*LLRD)+(0.66*LCHD*LRD)+(0.66*FD*FRD)</f>
        <v>0</v>
      </c>
      <c r="CD100" s="374">
        <v>10.5</v>
      </c>
      <c r="CE100" s="375">
        <v>16.065000000000001</v>
      </c>
      <c r="CF100" s="375">
        <v>14.2</v>
      </c>
      <c r="CG100" s="375">
        <v>8.52</v>
      </c>
      <c r="CH100" s="266">
        <f>IF(SF&gt;0,SMG/SF*100,"")</f>
        <v>81.142857142857139</v>
      </c>
      <c r="CI100" s="286"/>
      <c r="CJ100" s="280">
        <f>SF*(_SL1+_SL2)/4+(SMG-SF/2)*(_SL1+_SL2)/3</f>
        <v>112.43447499999999</v>
      </c>
      <c r="CK100" s="83">
        <v>9.06</v>
      </c>
      <c r="CL100" s="91">
        <v>12.97</v>
      </c>
      <c r="CM100" s="91">
        <v>11.43</v>
      </c>
      <c r="CN100" s="91">
        <v>4.6100000000000003</v>
      </c>
      <c r="CO100" s="256">
        <f>IF(SCRF&gt;0,SCRMG/SCRF*100,"")</f>
        <v>50.883002207505527</v>
      </c>
      <c r="CP100" s="286"/>
      <c r="CQ100" s="256">
        <f>SCRF*(SCRL1+SCRL2)/4+(SCRMG-SCRF/2)*(SCRL1+SCRL2)/3</f>
        <v>55.916666666666664</v>
      </c>
      <c r="CR100" s="256" t="str">
        <f>IF(CO100&lt;'Look Ups'!$AC$4,"Yes","No")</f>
        <v>Yes</v>
      </c>
      <c r="CS100" s="267">
        <f>IF(CR100="Yes",MIN(150,('Look Ups'!$AC$4-PSCR)/('Look Ups'!$AC$4-'Look Ups'!$AC$3)*100),0)</f>
        <v>22.339955849889463</v>
      </c>
      <c r="CT100" s="83"/>
      <c r="CU100" s="91"/>
      <c r="CV100" s="91"/>
      <c r="CW100" s="91"/>
      <c r="CX100" s="256" t="str">
        <f>IF(USCRF&gt;0,USCRMG/USCRF*100,"")</f>
        <v/>
      </c>
      <c r="CY100" s="293">
        <f>IF(PUSCR&lt;'Look Ups'!$AC$4,MIN(150,('Look Ups'!$AC$4-PUSCR)/('Look Ups'!$AC$4-'Look Ups'!$AC$3)*100),0)</f>
        <v>0</v>
      </c>
      <c r="CZ100" s="275">
        <f>IF(PUSCR&lt;'Look Ups'!$AC$4,USCRF*(USCRL1+USCRL2)/4+(USCRMG-USCRF/2)*(USCRL1+USCRL2)/3,0)</f>
        <v>0</v>
      </c>
      <c r="DA100" s="294">
        <f>IF(ZVAL=1,1,IF(LPM&gt;0,0.64*((AM+MAM)/(E+(MC/2))^2)^0.3,0))</f>
        <v>1</v>
      </c>
      <c r="DB100" s="256">
        <f>0.65*((AM+MAM)*EFM)+0.35*((AM+MAM)*ZVAL)</f>
        <v>46.1810568</v>
      </c>
      <c r="DC100" s="256">
        <f>IF(ZVAL=1,1,IF(LPG&gt;0,0.72*(AG/(LPG^2))^0.3,0))</f>
        <v>1</v>
      </c>
      <c r="DD100" s="256">
        <f>AG*EFG</f>
        <v>29.102403600000002</v>
      </c>
      <c r="DE100" s="256">
        <f>IF(AZ100&gt;0,'Look Ups'!$S$3,0)</f>
        <v>1</v>
      </c>
      <c r="DF100" s="256">
        <f>IF(LPS&gt;0,0.72*(AS/(LPS^2))^0.3,0)</f>
        <v>0</v>
      </c>
      <c r="DG100" s="256">
        <f>EFS*AS</f>
        <v>0</v>
      </c>
      <c r="DH100" s="256">
        <f>IF(LPD&gt;0,0.72*(AD/(LPD^2))^0.3,0)</f>
        <v>0</v>
      </c>
      <c r="DI100" s="280">
        <f>IF((AD-AG)&gt;0,0.3*(AD-AG)*EFD,0)</f>
        <v>0</v>
      </c>
      <c r="DJ100" s="295" t="str">
        <f>IF((SCRF=0),"-",IF(AND(MSASC&gt;AG,SCRMG&lt;(0.75*SCRF)),"valid","ERROR"))</f>
        <v>valid</v>
      </c>
      <c r="DK100" s="266" t="str">
        <f>IF((SF=0),"-",IF((SMG&lt;(0.75*SF)),"ERROR",IF(AND(MSASP&gt;MSASC,MSASP&gt;AG,MSASP&gt;=0.36*RSAM),"valid","Small")))</f>
        <v>valid</v>
      </c>
      <c r="DL100" s="267" t="str">
        <f>IF(C100="","",CONCATENATE("MG",IF(FLSCR="valid","Scr",""),IF(FLSPI="valid","SP","")))</f>
        <v>MGScrSP</v>
      </c>
      <c r="DM100" s="294">
        <f>RSAM+RSAG</f>
        <v>75.283460399999996</v>
      </c>
      <c r="DN100" s="256">
        <f>IF(MSASP&gt;0,'Look Ups'!$AI$4*(ZVAL*MSASP-RSAG),0)</f>
        <v>24.999621419999997</v>
      </c>
      <c r="DO100" s="256">
        <f>IF(AND(MSASC&gt;0,(MSASC&gt;=0.36*RSAM)),('Look Ups'!$AI$3*(ZVAL*MSASC-RSAG)),(0))</f>
        <v>9.384992073333331</v>
      </c>
      <c r="DP100" s="256">
        <f>IF(MSASP&gt;0,'Look Ups'!$AI$5*(ZVAL*MSASP-RSAG),0)</f>
        <v>23.332979991999999</v>
      </c>
      <c r="DQ100" s="256">
        <f>IF(MSASC&gt;0,'Look Ups'!$AI$6*(MSASC-RSAG),0)</f>
        <v>1.8769984146666665</v>
      </c>
      <c r="DR100" s="280">
        <f>'Look Ups'!$AI$7*MAX(IF(MSAUSC&gt;0,EUSC/100*(MSAUSC-RSAG),0),IF(CR100="Yes",ELSC/100*(MSASC-RSAG),0))</f>
        <v>1.4975736326416373</v>
      </c>
      <c r="DS100" s="280">
        <f>0.36*RSAM</f>
        <v>16.625180447999998</v>
      </c>
      <c r="DT100" s="296">
        <f>_xlfn.IFS(SPC="MG",RAMG+DS100,SPC="MGScr",RAMG+RASCO,SPC="MGSp",RAMG+RASPO,SPC="MGScrSp",RAMG+RASPSC+RASCR)+RAUSC+RSAST+RSAD+RSAMZ+RSA2M</f>
        <v>101.99101243930829</v>
      </c>
      <c r="DU100" s="63"/>
    </row>
    <row r="101" spans="1:125" ht="15.6" customHeight="1" x14ac:dyDescent="0.3">
      <c r="A101" s="4"/>
      <c r="B101" s="64"/>
      <c r="C101" s="64" t="s">
        <v>429</v>
      </c>
      <c r="D101" s="85" t="s">
        <v>430</v>
      </c>
      <c r="E101" s="86" t="s">
        <v>431</v>
      </c>
      <c r="F101" s="252">
        <f ca="1">IF(RW=0,0,ROUND(DLF*0.93*RL^LF*RSA^0.4/RW^0.325,3))</f>
        <v>0.81899999999999995</v>
      </c>
      <c r="G101" s="252" t="str">
        <f ca="1">IF(OR(FLSCR="ERROR",FLSPI="ERROR"),"No",IF(TODAY()-'Look Ups'!$D$4*365&gt;I101,"WP Applied","Yes"))</f>
        <v>Yes</v>
      </c>
      <c r="H101" s="253" t="str">
        <f>IF(SPC="","",CONCATENATE("Main-Genoa",IF(FLSCR="valid",IF(OR(CR101="Yes",MSAUSC&gt;0),"-Screacher (Upwind)","-Screacher"),""),IF(FLSPI="valid","-Spinnaker",""),IF(RSAMZ&gt;0,"-Mizzen",""),IF(RSA2M&gt;0,"-Second Main",""),IF(AS&gt;0,"-Staysail",""),IF(AD&gt;0,"-Drifter","")))</f>
        <v>Main-Genoa-Screacher (Upwind)-Spinnaker</v>
      </c>
      <c r="I101" s="1">
        <v>45375</v>
      </c>
      <c r="J101" s="1">
        <v>45376</v>
      </c>
      <c r="K101" s="87" t="s">
        <v>412</v>
      </c>
      <c r="L101" s="87" t="s">
        <v>176</v>
      </c>
      <c r="M101" s="207"/>
      <c r="N101" s="88" t="s">
        <v>143</v>
      </c>
      <c r="O101" s="88" t="s">
        <v>144</v>
      </c>
      <c r="P101" s="100"/>
      <c r="Q101" s="90">
        <v>7.3</v>
      </c>
      <c r="R101" s="87"/>
      <c r="S101" s="256">
        <f>IF((LOAA&gt;LOA),0.025*LOAA,0.025*LOA)</f>
        <v>0.1825</v>
      </c>
      <c r="T101" s="91">
        <v>0.01</v>
      </c>
      <c r="U101" s="91"/>
      <c r="V101" s="258">
        <f>IF((_xlfn.SINGLE(LOAA)&gt;_xlfn.SINGLE(LOA)),_xlfn.SINGLE(LOAA),_xlfn.SINGLE(LOA)-_xlfn.SINGLE(FOC)-_xlfn.SINGLE(AOC))</f>
        <v>7.29</v>
      </c>
      <c r="W101" s="259">
        <f>IF(RL&gt;0,IF(RL&gt;'Look Ups'!Y$7,'Look Ups'!Y$8,('Look Ups'!Y$3*RL^3+'Look Ups'!Y$4*RL^2+'Look Ups'!Y$5*RL+'Look Ups'!Y$6)),0)</f>
        <v>0.29103813613700003</v>
      </c>
      <c r="X101" s="92">
        <v>1125</v>
      </c>
      <c r="Y101" s="262">
        <f ca="1">IF(WDATE&lt;(TODAY()-'Look Ups'!$D$4*365),-WM*'Look Ups'!$D$5/100,0)</f>
        <v>0</v>
      </c>
      <c r="Z101" s="93"/>
      <c r="AA101" s="93"/>
      <c r="AB101" s="75"/>
      <c r="AC101" s="270">
        <f>WCD+NC*'Look Ups'!$AF$3</f>
        <v>0</v>
      </c>
      <c r="AD101" s="265">
        <f ca="1">IF(RL&lt;'Look Ups'!AM$3,'Look Ups'!AM$4,IF(RL&gt;'Look Ups'!AM$5,'Look Ups'!AM$6,(RL-'Look Ups'!AM$3)/('Look Ups'!AM$5-'Look Ups'!AM$3)*('Look Ups'!AM$6-'Look Ups'!AM$4)+'Look Ups'!AM$4))/100*WS</f>
        <v>313.36363636363637</v>
      </c>
      <c r="AE101" s="266">
        <f ca="1">WM+WP+WE</f>
        <v>1125</v>
      </c>
      <c r="AF101" s="267">
        <f ca="1">_xlfn.SINGLE(WS)+IF(_xlfn.SINGLE(TCW)&gt;=_xlfn.SINGLE(CWA),_xlfn.SINGLE(CWA),_xlfn.SINGLE(TCW))</f>
        <v>1125</v>
      </c>
      <c r="AG101" s="94" t="s">
        <v>145</v>
      </c>
      <c r="AH101" s="95" t="s">
        <v>146</v>
      </c>
      <c r="AI101" s="96" t="s">
        <v>147</v>
      </c>
      <c r="AJ101" s="218"/>
      <c r="AK101" s="273">
        <f>IF(C101="",0,VLOOKUP(AG101,'Look Ups'!$F$3:$G$6,2,0)*VLOOKUP(AH101,'Look Ups'!$I$3:$J$5,2,0)*VLOOKUP(AI101,'Look Ups'!$L$3:$M$7,2,0)*IF(AJ101="",1,VLOOKUP(AJ101,'Look Ups'!$O$3:$P$4,2,0)))</f>
        <v>1</v>
      </c>
      <c r="AL101" s="83">
        <v>10.029999999999999</v>
      </c>
      <c r="AM101" s="91">
        <v>9.84</v>
      </c>
      <c r="AN101" s="91">
        <v>3.04</v>
      </c>
      <c r="AO101" s="91">
        <v>1.17</v>
      </c>
      <c r="AP101" s="91">
        <v>0.33</v>
      </c>
      <c r="AQ101" s="91">
        <v>9.68</v>
      </c>
      <c r="AR101" s="91">
        <v>0.15</v>
      </c>
      <c r="AS101" s="91">
        <v>3.1850000000000001</v>
      </c>
      <c r="AT101" s="91">
        <v>0.03</v>
      </c>
      <c r="AU101" s="91">
        <v>0.44</v>
      </c>
      <c r="AV101" s="91" t="s">
        <v>148</v>
      </c>
      <c r="AW101" s="97"/>
      <c r="AX101" s="256">
        <f>P+ER</f>
        <v>9.7099999999999991</v>
      </c>
      <c r="AY101" s="256">
        <f>P*0.375*MC</f>
        <v>1.5972</v>
      </c>
      <c r="AZ101" s="275">
        <f>IF(C101="",0,(0.5*(_ML1*LPM)+0.5*(_ML1*HB)+0.66*(P*PR)+0.66*(_ML2*RDM)+0.66*(E*ER))*VLOOKUP(BATT,'Look Ups'!$U$3:$V$4,2,0))</f>
        <v>24.277684999999998</v>
      </c>
      <c r="BA101" s="98"/>
      <c r="BB101" s="99"/>
      <c r="BC101" s="83">
        <v>9.3000000000000007</v>
      </c>
      <c r="BD101" s="91">
        <v>2.6749999999999998</v>
      </c>
      <c r="BE101" s="91">
        <v>2.86</v>
      </c>
      <c r="BF101" s="91">
        <v>0.1</v>
      </c>
      <c r="BG101" s="91">
        <v>7.95</v>
      </c>
      <c r="BH101" s="91"/>
      <c r="BI101" s="91"/>
      <c r="BJ101" s="91">
        <v>7.0000000000000007E-2</v>
      </c>
      <c r="BK101" s="91">
        <v>3.5000000000000003E-2</v>
      </c>
      <c r="BL101" s="97"/>
      <c r="BM101" s="275">
        <f>(0.5*LL*LPG)+(0.5*_LG1*HG)+(0.66*LL*LLRG)+(0.66*FG*FRG)+(IF((HG&gt;0),(0.66*_LG2*LRG),(0.66*_LG1*LRG)))</f>
        <v>13.209630000000001</v>
      </c>
      <c r="BN101" s="282"/>
      <c r="BO101" s="283"/>
      <c r="BP101" s="284"/>
      <c r="BQ101" s="284"/>
      <c r="BR101" s="283"/>
      <c r="BS101" s="284"/>
      <c r="BT101" s="284"/>
      <c r="BU101" s="280">
        <f>(0.5*LLS*LPS)+(0.66*LLS*LLRS)+(0.66*LS*LRS)+(0.66*FS*FRS)</f>
        <v>0</v>
      </c>
      <c r="BV101" s="285"/>
      <c r="BW101" s="283"/>
      <c r="BX101" s="283"/>
      <c r="BY101" s="283"/>
      <c r="BZ101" s="283"/>
      <c r="CA101" s="283"/>
      <c r="CB101" s="283"/>
      <c r="CC101" s="275">
        <f>(0.5*LLD*LPD)+(0.66*LLD*LLRD)+(0.66*LCHD*LRD)+(0.66*FD*FRD)</f>
        <v>0</v>
      </c>
      <c r="CD101" s="98">
        <v>6.83</v>
      </c>
      <c r="CE101" s="91">
        <v>10.73</v>
      </c>
      <c r="CF101" s="91">
        <v>10.02</v>
      </c>
      <c r="CG101" s="91">
        <v>5.89</v>
      </c>
      <c r="CH101" s="266">
        <f>IF(SF&gt;0,SMG/SF*100,"")</f>
        <v>86.237188872620791</v>
      </c>
      <c r="CI101" s="283"/>
      <c r="CJ101" s="280">
        <f>SF*(_SL1+_SL2)/4+(SMG-SF/2)*(_SL1+_SL2)/3</f>
        <v>52.549374999999998</v>
      </c>
      <c r="CK101" s="83">
        <v>5.29</v>
      </c>
      <c r="CL101" s="91">
        <v>9.76</v>
      </c>
      <c r="CM101" s="91">
        <v>8</v>
      </c>
      <c r="CN101" s="91">
        <v>2.67</v>
      </c>
      <c r="CO101" s="256">
        <f>IF(SCRF&gt;0,SCRMG/SCRF*100,"")</f>
        <v>50.472589792060482</v>
      </c>
      <c r="CP101" s="283"/>
      <c r="CQ101" s="256">
        <f>SCRF*(SCRL1+SCRL2)/4+(SCRMG-SCRF/2)*(SCRL1+SCRL2)/3</f>
        <v>23.635599999999997</v>
      </c>
      <c r="CR101" s="256" t="str">
        <f>IF(CO101&lt;'Look Ups'!$AC$4,"Yes","No")</f>
        <v>Yes</v>
      </c>
      <c r="CS101" s="267">
        <f>IF(CR101="Yes",MIN(150,('Look Ups'!$AC$4-PSCR)/('Look Ups'!$AC$4-'Look Ups'!$AC$3)*100),0)</f>
        <v>30.548204158790355</v>
      </c>
      <c r="CT101" s="83"/>
      <c r="CU101" s="91"/>
      <c r="CV101" s="91"/>
      <c r="CW101" s="91"/>
      <c r="CX101" s="256" t="str">
        <f>IF(USCRF&gt;0,USCRMG/USCRF*100,"")</f>
        <v/>
      </c>
      <c r="CY101" s="293">
        <f>IF(PUSCR&lt;'Look Ups'!$AC$4,MIN(150,('Look Ups'!$AC$4-PUSCR)/('Look Ups'!$AC$4-'Look Ups'!$AC$3)*100),0)</f>
        <v>0</v>
      </c>
      <c r="CZ101" s="275">
        <f>IF(PUSCR&lt;'Look Ups'!$AC$4,USCRF*(USCRL1+USCRL2)/4+(USCRMG-USCRF/2)*(USCRL1+USCRL2)/3,0)</f>
        <v>0</v>
      </c>
      <c r="DA101" s="294">
        <f>IF(ZVAL=1,1,IF(LPM&gt;0,0.64*((AM+MAM)/(E+(MC/2))^2)^0.3,0))</f>
        <v>1</v>
      </c>
      <c r="DB101" s="256">
        <f>0.65*((AM+MAM)*EFM)+0.35*((AM+MAM)*ZVAL)</f>
        <v>25.874884999999999</v>
      </c>
      <c r="DC101" s="256">
        <f>IF(ZVAL=1,1,IF(LPG&gt;0,0.72*(AG/(LPG^2))^0.3,0))</f>
        <v>1</v>
      </c>
      <c r="DD101" s="256">
        <f>AG*EFG</f>
        <v>13.209630000000001</v>
      </c>
      <c r="DE101" s="256">
        <f>IF(AZ101&gt;0,'Look Ups'!$S$3,0)</f>
        <v>1</v>
      </c>
      <c r="DF101" s="256">
        <f>IF(LPS&gt;0,0.72*(AS/(LPS^2))^0.3,0)</f>
        <v>0</v>
      </c>
      <c r="DG101" s="256">
        <f>EFS*AS</f>
        <v>0</v>
      </c>
      <c r="DH101" s="256">
        <f>IF(LPD&gt;0,0.72*(AD/(LPD^2))^0.3,0)</f>
        <v>0</v>
      </c>
      <c r="DI101" s="280">
        <f>IF((AD-AG)&gt;0,0.3*(AD-AG)*EFD,0)</f>
        <v>0</v>
      </c>
      <c r="DJ101" s="295" t="str">
        <f>IF((SCRF=0),"-",IF(AND(MSASC&gt;AG,SCRMG&lt;(0.75*SCRF)),"valid","ERROR"))</f>
        <v>valid</v>
      </c>
      <c r="DK101" s="266" t="str">
        <f>IF((SF=0),"-",IF((SMG&lt;(0.75*SF)),"ERROR",IF(AND(MSASP&gt;MSASC,MSASP&gt;AG,MSASP&gt;=0.36*RSAM),"valid","Small")))</f>
        <v>valid</v>
      </c>
      <c r="DL101" s="267" t="str">
        <f>IF(C101="","",CONCATENATE("MG",IF(FLSCR="valid","Scr",""),IF(FLSPI="valid","SP","")))</f>
        <v>MGScrSP</v>
      </c>
      <c r="DM101" s="294">
        <f>RSAM+RSAG</f>
        <v>39.084514999999996</v>
      </c>
      <c r="DN101" s="256">
        <f>IF(MSASP&gt;0,'Look Ups'!$AI$4*(ZVAL*MSASP-RSAG),0)</f>
        <v>11.801923499999997</v>
      </c>
      <c r="DO101" s="256">
        <f>IF(AND(MSASC&gt;0,(MSASC&gt;=0.36*RSAM)),('Look Ups'!$AI$3*(ZVAL*MSASC-RSAG)),(0))</f>
        <v>3.6490894999999983</v>
      </c>
      <c r="DP101" s="256">
        <f>IF(MSASP&gt;0,'Look Ups'!$AI$5*(ZVAL*MSASP-RSAG),0)</f>
        <v>11.015128599999999</v>
      </c>
      <c r="DQ101" s="256">
        <f>IF(MSASC&gt;0,'Look Ups'!$AI$6*(MSASC-RSAG),0)</f>
        <v>0.7298178999999998</v>
      </c>
      <c r="DR101" s="280">
        <f>'Look Ups'!$AI$7*MAX(IF(MSAUSC&gt;0,EUSC/100*(MSAUSC-RSAG),0),IF(CR101="Yes",ELSC/100*(MSASC-RSAG),0))</f>
        <v>0.79623665028355839</v>
      </c>
      <c r="DS101" s="280">
        <f>0.36*RSAM</f>
        <v>9.3149585999999989</v>
      </c>
      <c r="DT101" s="296">
        <f>_xlfn.IFS(SPC="MG",RAMG+DS101,SPC="MGScr",RAMG+RASCO,SPC="MGSp",RAMG+RASPO,SPC="MGScrSp",RAMG+RASPSC+RASCR)+RAUSC+RSAST+RSAD+RSAMZ+RSA2M</f>
        <v>51.625698150283554</v>
      </c>
      <c r="DU101" s="63"/>
    </row>
    <row r="102" spans="1:125" ht="15.6" customHeight="1" x14ac:dyDescent="0.3">
      <c r="A102" s="4"/>
      <c r="B102" s="64"/>
      <c r="C102" s="64" t="s">
        <v>1213</v>
      </c>
      <c r="D102" s="85" t="s">
        <v>1214</v>
      </c>
      <c r="E102" s="86" t="s">
        <v>1079</v>
      </c>
      <c r="F102" s="252">
        <f ca="1">IF(RW=0,0,ROUND(DLF*0.93*RL^LF*RSA^0.4/RW^0.325,3))</f>
        <v>1.151</v>
      </c>
      <c r="G102" s="252" t="str">
        <f ca="1">IF(OR(FLSCR="ERROR",FLSPI="ERROR"),"No",IF(TODAY()-'Look Ups'!$D$4*365&gt;I102,"WP Applied","Yes"))</f>
        <v>Yes</v>
      </c>
      <c r="H102" s="253" t="str">
        <f>IF(SPC="","",CONCATENATE("Main-Genoa",IF(FLSCR="valid",IF(OR(CR102="Yes",MSAUSC&gt;0),"-Screacher (Upwind)","-Screacher"),""),IF(FLSPI="valid","-Spinnaker",""),IF(RSAMZ&gt;0,"-Mizzen",""),IF(RSA2M&gt;0,"-Second Main",""),IF(AS&gt;0,"-Staysail",""),IF(AD&gt;0,"-Drifter","")))</f>
        <v>Main-Genoa-Screacher (Upwind)</v>
      </c>
      <c r="I102" s="1">
        <v>45737</v>
      </c>
      <c r="J102" s="1">
        <v>45747</v>
      </c>
      <c r="K102" s="87" t="s">
        <v>255</v>
      </c>
      <c r="L102" s="87" t="s">
        <v>176</v>
      </c>
      <c r="M102" s="207"/>
      <c r="N102" s="88" t="s">
        <v>143</v>
      </c>
      <c r="O102" s="88" t="s">
        <v>144</v>
      </c>
      <c r="P102" s="100"/>
      <c r="Q102" s="90">
        <v>12.19</v>
      </c>
      <c r="R102" s="87"/>
      <c r="S102" s="256">
        <f>IF((LOAA&gt;LOA),0.025*LOAA,0.025*LOA)</f>
        <v>0.30475000000000002</v>
      </c>
      <c r="T102" s="91">
        <v>0</v>
      </c>
      <c r="U102" s="91">
        <v>0</v>
      </c>
      <c r="V102" s="258">
        <f>IF((_xlfn.SINGLE(LOAA)&gt;_xlfn.SINGLE(LOA)),_xlfn.SINGLE(LOAA),_xlfn.SINGLE(LOA)-_xlfn.SINGLE(FOC)-_xlfn.SINGLE(AOC))</f>
        <v>12.19</v>
      </c>
      <c r="W102" s="259">
        <f>IF(RL&gt;0,IF(RL&gt;'Look Ups'!Y$7,'Look Ups'!Y$8,('Look Ups'!Y$3*RL^3+'Look Ups'!Y$4*RL^2+'Look Ups'!Y$5*RL+'Look Ups'!Y$6)),0)</f>
        <v>0.3</v>
      </c>
      <c r="X102" s="92">
        <v>2386</v>
      </c>
      <c r="Y102" s="263">
        <f ca="1">IF(WDATE&lt;(TODAY()-'Look Ups'!$D$4*365),-WM*'Look Ups'!$D$5/100,0)</f>
        <v>0</v>
      </c>
      <c r="Z102" s="103"/>
      <c r="AA102" s="104"/>
      <c r="AB102" s="106"/>
      <c r="AC102" s="270">
        <f>WCD+NC*'Look Ups'!$AF$3</f>
        <v>0</v>
      </c>
      <c r="AD102" s="265">
        <f ca="1">IF(RL&lt;'Look Ups'!AM$3,'Look Ups'!AM$4,IF(RL&gt;'Look Ups'!AM$5,'Look Ups'!AM$6,(RL-'Look Ups'!AM$3)/('Look Ups'!AM$5-'Look Ups'!AM$3)*('Look Ups'!AM$6-'Look Ups'!AM$4)+'Look Ups'!AM$4))/100*WS</f>
        <v>239.46763636363633</v>
      </c>
      <c r="AE102" s="269">
        <f ca="1">WM+WP+WE</f>
        <v>2386</v>
      </c>
      <c r="AF102" s="267">
        <f ca="1">_xlfn.SINGLE(WS)+IF(_xlfn.SINGLE(TCW)&gt;=_xlfn.SINGLE(CWA),_xlfn.SINGLE(CWA),_xlfn.SINGLE(TCW))</f>
        <v>2386</v>
      </c>
      <c r="AG102" s="94" t="s">
        <v>145</v>
      </c>
      <c r="AH102" s="95" t="s">
        <v>146</v>
      </c>
      <c r="AI102" s="96" t="s">
        <v>147</v>
      </c>
      <c r="AJ102" s="218"/>
      <c r="AK102" s="273">
        <f>IF(C102="",0,VLOOKUP(AG102,'Look Ups'!$F$3:$G$6,2,0)*VLOOKUP(AH102,'Look Ups'!$I$3:$J$5,2,0)*VLOOKUP(AI102,'Look Ups'!$L$3:$M$7,2,0)*IF(AJ102="",1,VLOOKUP(AJ102,'Look Ups'!$O$3:$P$4,2,0)))</f>
        <v>1</v>
      </c>
      <c r="AL102" s="136">
        <v>18.78</v>
      </c>
      <c r="AM102" s="131">
        <v>18.440000000000001</v>
      </c>
      <c r="AN102" s="131">
        <v>5.3</v>
      </c>
      <c r="AO102" s="131">
        <v>1.35</v>
      </c>
      <c r="AP102" s="131">
        <v>1.1299999999999999</v>
      </c>
      <c r="AQ102" s="131">
        <v>18.48</v>
      </c>
      <c r="AR102" s="131">
        <v>0.23</v>
      </c>
      <c r="AS102" s="131">
        <v>5.32</v>
      </c>
      <c r="AT102" s="131">
        <v>0.05</v>
      </c>
      <c r="AU102" s="131">
        <v>0.56999999999999995</v>
      </c>
      <c r="AV102" s="131" t="s">
        <v>148</v>
      </c>
      <c r="AW102" s="128"/>
      <c r="AX102" s="256">
        <f>P+ER</f>
        <v>18.53</v>
      </c>
      <c r="AY102" s="256">
        <f>P*0.375*MC</f>
        <v>3.9500999999999995</v>
      </c>
      <c r="AZ102" s="275">
        <f>IF(C102="",0,(0.5*(_ML1*LPM)+0.5*(_ML1*HB)+0.66*(P*PR)+0.66*(_ML2*RDM)+0.66*(E*ER))*VLOOKUP(BATT,'Look Ups'!$U$3:$V$4,2,0))</f>
        <v>79.176875999999993</v>
      </c>
      <c r="BA102" s="98"/>
      <c r="BB102" s="99"/>
      <c r="BC102" s="83">
        <v>15.55</v>
      </c>
      <c r="BD102" s="91">
        <v>4.33</v>
      </c>
      <c r="BE102" s="91">
        <v>4.7699999999999996</v>
      </c>
      <c r="BF102" s="91">
        <v>7.0000000000000007E-2</v>
      </c>
      <c r="BG102" s="91">
        <v>14.1</v>
      </c>
      <c r="BH102" s="91"/>
      <c r="BI102" s="91"/>
      <c r="BJ102" s="91">
        <v>-0.27</v>
      </c>
      <c r="BK102" s="91">
        <v>0.05</v>
      </c>
      <c r="BL102" s="97"/>
      <c r="BM102" s="275">
        <f>(0.5*LL*LPG)+(0.5*_LG1*HG)+(0.66*LL*LLRG)+(0.66*FG*FRG)+(IF((HG&gt;0),(0.66*_LG2*LRG),(0.66*_LG1*LRG)))</f>
        <v>31.886654000000004</v>
      </c>
      <c r="BN102" s="282"/>
      <c r="BO102" s="283"/>
      <c r="BP102" s="284"/>
      <c r="BQ102" s="284"/>
      <c r="BR102" s="283"/>
      <c r="BS102" s="284"/>
      <c r="BT102" s="284"/>
      <c r="BU102" s="280">
        <f>(0.5*LLS*LPS)+(0.66*LLS*LLRS)+(0.66*LS*LRS)+(0.66*FS*FRS)</f>
        <v>0</v>
      </c>
      <c r="BV102" s="285"/>
      <c r="BW102" s="283"/>
      <c r="BX102" s="283"/>
      <c r="BY102" s="283"/>
      <c r="BZ102" s="283"/>
      <c r="CA102" s="283"/>
      <c r="CB102" s="283"/>
      <c r="CC102" s="275">
        <f>(0.5*LLD*LPD)+(0.66*LLD*LLRD)+(0.66*LCHD*LRD)+(0.66*FD*FRD)</f>
        <v>0</v>
      </c>
      <c r="CD102" s="98"/>
      <c r="CE102" s="91"/>
      <c r="CF102" s="91"/>
      <c r="CG102" s="91"/>
      <c r="CH102" s="266" t="str">
        <f>IF(SF&gt;0,SMG/SF*100,"")</f>
        <v/>
      </c>
      <c r="CI102" s="283"/>
      <c r="CJ102" s="280">
        <f>SF*(_SL1+_SL2)/4+(SMG-SF/2)*(_SL1+_SL2)/3</f>
        <v>0</v>
      </c>
      <c r="CK102" s="83">
        <v>9.7799999999999994</v>
      </c>
      <c r="CL102" s="91">
        <v>20.45</v>
      </c>
      <c r="CM102" s="91">
        <v>17.45</v>
      </c>
      <c r="CN102" s="91">
        <v>5.82</v>
      </c>
      <c r="CO102" s="256">
        <f>IF(SCRF&gt;0,SCRMG/SCRF*100,"")</f>
        <v>59.50920245398774</v>
      </c>
      <c r="CP102" s="283"/>
      <c r="CQ102" s="256">
        <f>SCRF*(SCRL1+SCRL2)/4+(SCRMG-SCRF/2)*(SCRL1+SCRL2)/3</f>
        <v>104.4145</v>
      </c>
      <c r="CR102" s="256" t="str">
        <f>IF(CO102&lt;'Look Ups'!$AC$4,"Yes","No")</f>
        <v>No</v>
      </c>
      <c r="CS102" s="267">
        <f>IF(CR102="Yes",MIN(150,('Look Ups'!$AC$4-PSCR)/('Look Ups'!$AC$4-'Look Ups'!$AC$3)*100),0)</f>
        <v>0</v>
      </c>
      <c r="CT102" s="83">
        <v>8.76</v>
      </c>
      <c r="CU102" s="91">
        <v>18.68</v>
      </c>
      <c r="CV102" s="91">
        <v>15.85</v>
      </c>
      <c r="CW102" s="91">
        <v>4.37</v>
      </c>
      <c r="CX102" s="256">
        <f>IF(USCRF&gt;0,USCRMG/USCRF*100,"")</f>
        <v>49.885844748858446</v>
      </c>
      <c r="CY102" s="293">
        <f>IF(PUSCR&lt;'Look Ups'!$AC$4,MIN(150,('Look Ups'!$AC$4-PUSCR)/('Look Ups'!$AC$4-'Look Ups'!$AC$3)*100),0)</f>
        <v>42.28310502283108</v>
      </c>
      <c r="CZ102" s="275">
        <f>IF(PUSCR&lt;'Look Ups'!$AC$4,USCRF*(USCRL1+USCRL2)/4+(USCRMG-USCRF/2)*(USCRL1+USCRL2)/3,0)</f>
        <v>75.505600000000001</v>
      </c>
      <c r="DA102" s="294">
        <f>IF(ZVAL=1,1,IF(LPM&gt;0,0.64*((AM+MAM)/(E+(MC/2))^2)^0.3,0))</f>
        <v>1</v>
      </c>
      <c r="DB102" s="256">
        <f>0.65*((AM+MAM)*EFM)+0.35*((AM+MAM)*ZVAL)</f>
        <v>83.126975999999999</v>
      </c>
      <c r="DC102" s="256">
        <f>IF(ZVAL=1,1,IF(LPG&gt;0,0.72*(AG/(LPG^2))^0.3,0))</f>
        <v>1</v>
      </c>
      <c r="DD102" s="256">
        <f>AG*EFG</f>
        <v>31.886654000000004</v>
      </c>
      <c r="DE102" s="256">
        <f>IF(AZ102&gt;0,'Look Ups'!$S$3,0)</f>
        <v>1</v>
      </c>
      <c r="DF102" s="256">
        <f>IF(LPS&gt;0,0.72*(AS/(LPS^2))^0.3,0)</f>
        <v>0</v>
      </c>
      <c r="DG102" s="256">
        <f>EFS*AS</f>
        <v>0</v>
      </c>
      <c r="DH102" s="256">
        <f>IF(LPD&gt;0,0.72*(AD/(LPD^2))^0.3,0)</f>
        <v>0</v>
      </c>
      <c r="DI102" s="280">
        <f>IF((AD-AG)&gt;0,0.3*(AD-AG)*EFD,0)</f>
        <v>0</v>
      </c>
      <c r="DJ102" s="295" t="str">
        <f>IF((SCRF=0),"-",IF(AND(MSASC&gt;AG,SCRMG&lt;(0.75*SCRF)),"valid","ERROR"))</f>
        <v>valid</v>
      </c>
      <c r="DK102" s="266" t="str">
        <f>IF((SF=0),"-",IF((SMG&lt;(0.75*SF)),"ERROR",IF(AND(MSASP&gt;MSASC,MSASP&gt;AG,MSASP&gt;=0.36*RSAM),"valid","Small")))</f>
        <v>-</v>
      </c>
      <c r="DL102" s="267" t="str">
        <f>IF(C102="","",CONCATENATE("MG",IF(FLSCR="valid","Scr",""),IF(FLSPI="valid","SP","")))</f>
        <v>MGScr</v>
      </c>
      <c r="DM102" s="294">
        <f>RSAM+RSAG</f>
        <v>115.01363000000001</v>
      </c>
      <c r="DN102" s="256">
        <f>IF(MSASP&gt;0,'Look Ups'!$AI$4*(ZVAL*MSASP-RSAG),0)</f>
        <v>0</v>
      </c>
      <c r="DO102" s="256">
        <f>IF(AND(MSASC&gt;0,(MSASC&gt;=0.36*RSAM)),('Look Ups'!$AI$3*(ZVAL*MSASC-RSAG)),(0))</f>
        <v>25.384746099999997</v>
      </c>
      <c r="DP102" s="256">
        <f>IF(MSASP&gt;0,'Look Ups'!$AI$5*(ZVAL*MSASP-RSAG),0)</f>
        <v>0</v>
      </c>
      <c r="DQ102" s="256">
        <f>IF(MSASC&gt;0,'Look Ups'!$AI$6*(MSASC-RSAG),0)</f>
        <v>5.0769492200000004</v>
      </c>
      <c r="DR102" s="280">
        <f>'Look Ups'!$AI$7*MAX(IF(MSAUSC&gt;0,EUSC/100*(MSAUSC-RSAG),0),IF(CR102="Yes",ELSC/100*(MSASC-RSAG),0))</f>
        <v>4.6108611867579938</v>
      </c>
      <c r="DS102" s="280">
        <f>0.36*RSAM</f>
        <v>29.925711359999998</v>
      </c>
      <c r="DT102" s="296">
        <f>_xlfn.IFS(SPC="MG",RAMG+DS102,SPC="MGScr",RAMG+RASCO,SPC="MGSp",RAMG+RASPO,SPC="MGScrSp",RAMG+RASPSC+RASCR)+RAUSC+RSAST+RSAD+RSAMZ+RSA2M</f>
        <v>145.00923728675801</v>
      </c>
      <c r="DU102" s="63"/>
    </row>
    <row r="103" spans="1:125" ht="15.6" customHeight="1" x14ac:dyDescent="0.3">
      <c r="A103" s="4"/>
      <c r="B103" s="64"/>
      <c r="C103" s="64" t="s">
        <v>432</v>
      </c>
      <c r="D103" s="101" t="s">
        <v>151</v>
      </c>
      <c r="E103" s="86" t="s">
        <v>433</v>
      </c>
      <c r="F103" s="252">
        <f ca="1">IF(RW=0,0,ROUND(DLF*0.93*RL^LF*RSA^0.4/RW^0.325,3))</f>
        <v>0.93799999999999994</v>
      </c>
      <c r="G103" s="252" t="str">
        <f ca="1">IF(OR(FLSCR="ERROR",FLSPI="ERROR"),"No",IF(TODAY()-'Look Ups'!$D$4*365&gt;I103,"WP Applied","Yes"))</f>
        <v>WP Applied</v>
      </c>
      <c r="H103" s="253" t="str">
        <f>IF(SPC="","",CONCATENATE("Main-Genoa",IF(FLSCR="valid",IF(OR(CR103="Yes",MSAUSC&gt;0),"-Screacher (Upwind)","-Screacher"),""),IF(FLSPI="valid","-Spinnaker",""),IF(RSAMZ&gt;0,"-Mizzen",""),IF(RSA2M&gt;0,"-Second Main",""),IF(AS&gt;0,"-Staysail",""),IF(AD&gt;0,"-Drifter","")))</f>
        <v>Main-Genoa-Screacher (Upwind)-Spinnaker</v>
      </c>
      <c r="I103" s="1">
        <v>42017</v>
      </c>
      <c r="J103" s="1">
        <v>44570</v>
      </c>
      <c r="K103" s="87" t="s">
        <v>322</v>
      </c>
      <c r="L103" s="87" t="s">
        <v>176</v>
      </c>
      <c r="M103" s="207"/>
      <c r="N103" s="97" t="s">
        <v>143</v>
      </c>
      <c r="O103" s="97" t="s">
        <v>154</v>
      </c>
      <c r="P103" s="102"/>
      <c r="Q103" s="90">
        <v>8.19</v>
      </c>
      <c r="R103" s="87"/>
      <c r="S103" s="256">
        <f>IF((LOAA&gt;LOA),0.025*LOAA,0.025*LOA)</f>
        <v>0.20474999999999999</v>
      </c>
      <c r="T103" s="91">
        <v>0.06</v>
      </c>
      <c r="U103" s="91">
        <v>0.16</v>
      </c>
      <c r="V103" s="258">
        <f>IF((_xlfn.SINGLE(LOAA)&gt;_xlfn.SINGLE(LOA)),_xlfn.SINGLE(LOAA),_xlfn.SINGLE(LOA)-_xlfn.SINGLE(FOC)-_xlfn.SINGLE(AOC))</f>
        <v>7.9699999999999989</v>
      </c>
      <c r="W103" s="259">
        <f>IF(RL&gt;0,IF(RL&gt;'Look Ups'!Y$7,'Look Ups'!Y$8,('Look Ups'!Y$3*RL^3+'Look Ups'!Y$4*RL^2+'Look Ups'!Y$5*RL+'Look Ups'!Y$6)),0)</f>
        <v>0.29369237190899999</v>
      </c>
      <c r="X103" s="92">
        <v>1107</v>
      </c>
      <c r="Y103" s="263">
        <f ca="1">IF(WDATE&lt;(TODAY()-'Look Ups'!$D$4*365),-WM*'Look Ups'!$D$5/100,0)</f>
        <v>-166.05</v>
      </c>
      <c r="Z103" s="103"/>
      <c r="AA103" s="379"/>
      <c r="AB103" s="389"/>
      <c r="AC103" s="270">
        <f>WCD+NC*'Look Ups'!$AF$3</f>
        <v>0</v>
      </c>
      <c r="AD103" s="265">
        <f ca="1">IF(RL&lt;'Look Ups'!AM$3,'Look Ups'!AM$4,IF(RL&gt;'Look Ups'!AM$5,'Look Ups'!AM$6,(RL-'Look Ups'!AM$3)/('Look Ups'!AM$5-'Look Ups'!AM$3)*('Look Ups'!AM$6-'Look Ups'!AM$4)+'Look Ups'!AM$4))/100*WS</f>
        <v>238.83021818181825</v>
      </c>
      <c r="AE103" s="269">
        <f ca="1">WM+WP+WE</f>
        <v>940.95</v>
      </c>
      <c r="AF103" s="267">
        <f ca="1">_xlfn.SINGLE(WS)+IF(_xlfn.SINGLE(TCW)&gt;=_xlfn.SINGLE(CWA),_xlfn.SINGLE(CWA),_xlfn.SINGLE(TCW))</f>
        <v>940.95</v>
      </c>
      <c r="AG103" s="94" t="s">
        <v>145</v>
      </c>
      <c r="AH103" s="95" t="s">
        <v>146</v>
      </c>
      <c r="AI103" s="96" t="s">
        <v>147</v>
      </c>
      <c r="AJ103" s="218"/>
      <c r="AK103" s="273">
        <f>IF(C103="",0,VLOOKUP(AG103,'Look Ups'!$F$3:$G$6,2,0)*VLOOKUP(AH103,'Look Ups'!$I$3:$J$5,2,0)*VLOOKUP(AI103,'Look Ups'!$L$3:$M$7,2,0)*IF(AJ103="",1,VLOOKUP(AJ103,'Look Ups'!$O$3:$P$4,2,0)))</f>
        <v>1</v>
      </c>
      <c r="AL103" s="83">
        <v>10.57</v>
      </c>
      <c r="AM103" s="91">
        <v>10.339</v>
      </c>
      <c r="AN103" s="91">
        <v>3.165</v>
      </c>
      <c r="AO103" s="91">
        <v>1.1399999999999999</v>
      </c>
      <c r="AP103" s="91">
        <v>0.55900000000000005</v>
      </c>
      <c r="AQ103" s="91">
        <v>10.32</v>
      </c>
      <c r="AR103" s="91">
        <v>-3.1E-2</v>
      </c>
      <c r="AS103" s="91">
        <v>3.242</v>
      </c>
      <c r="AT103" s="91">
        <v>0.04</v>
      </c>
      <c r="AU103" s="91">
        <v>0.49</v>
      </c>
      <c r="AV103" s="91" t="s">
        <v>148</v>
      </c>
      <c r="AW103" s="97" t="s">
        <v>434</v>
      </c>
      <c r="AX103" s="256">
        <f>P+ER</f>
        <v>10.36</v>
      </c>
      <c r="AY103" s="256">
        <f>P*0.375*MC</f>
        <v>1.8963000000000001</v>
      </c>
      <c r="AZ103" s="275">
        <f>IF(C103="",0,(0.5*(_ML1*LPM)+0.5*(_ML1*HB)+0.66*(P*PR)+0.66*(_ML2*RDM)+0.66*(E*ER))*VLOOKUP(BATT,'Look Ups'!$U$3:$V$4,2,0))</f>
        <v>26.440837260000002</v>
      </c>
      <c r="BA103" s="98"/>
      <c r="BB103" s="99"/>
      <c r="BC103" s="83">
        <v>8.7750000000000004</v>
      </c>
      <c r="BD103" s="91">
        <v>2.6549999999999998</v>
      </c>
      <c r="BE103" s="91">
        <v>2.94</v>
      </c>
      <c r="BF103" s="91">
        <v>4.4999999999999998E-2</v>
      </c>
      <c r="BG103" s="91">
        <v>7.94</v>
      </c>
      <c r="BH103" s="91"/>
      <c r="BI103" s="91"/>
      <c r="BJ103" s="91">
        <v>0.105</v>
      </c>
      <c r="BK103" s="91">
        <v>-3.5000000000000003E-2</v>
      </c>
      <c r="BL103" s="97"/>
      <c r="BM103" s="275">
        <f>(0.5*LL*LPG)+(0.5*_LG1*HG)+(0.66*LL*LLRG)+(0.66*FG*FRG)+(IF((HG&gt;0),(0.66*_LG2*LRG),(0.66*_LG1*LRG)))</f>
        <v>12.08367</v>
      </c>
      <c r="BN103" s="282"/>
      <c r="BO103" s="283"/>
      <c r="BP103" s="284"/>
      <c r="BQ103" s="284"/>
      <c r="BR103" s="283"/>
      <c r="BS103" s="284"/>
      <c r="BT103" s="284"/>
      <c r="BU103" s="280">
        <f>(0.5*LLS*LPS)+(0.66*LLS*LLRS)+(0.66*LS*LRS)+(0.66*FS*FRS)</f>
        <v>0</v>
      </c>
      <c r="BV103" s="285"/>
      <c r="BW103" s="283"/>
      <c r="BX103" s="283"/>
      <c r="BY103" s="283"/>
      <c r="BZ103" s="283"/>
      <c r="CA103" s="283"/>
      <c r="CB103" s="283"/>
      <c r="CC103" s="275">
        <f>(0.5*LLD*LPD)+(0.66*LLD*LLRD)+(0.66*LCHD*LRD)+(0.66*FD*FRD)</f>
        <v>0</v>
      </c>
      <c r="CD103" s="98">
        <v>7.43</v>
      </c>
      <c r="CE103" s="91">
        <v>11.57</v>
      </c>
      <c r="CF103" s="91">
        <v>10.48</v>
      </c>
      <c r="CG103" s="91">
        <v>6.99</v>
      </c>
      <c r="CH103" s="266">
        <f>IF(SF&gt;0,SMG/SF*100,"")</f>
        <v>94.078061911170934</v>
      </c>
      <c r="CI103" s="286"/>
      <c r="CJ103" s="280">
        <f>SF*(_SL1+_SL2)/4+(SMG-SF/2)*(_SL1+_SL2)/3</f>
        <v>65.029125000000008</v>
      </c>
      <c r="CK103" s="83">
        <v>6.52</v>
      </c>
      <c r="CL103" s="91">
        <v>9.84</v>
      </c>
      <c r="CM103" s="91">
        <v>8.75</v>
      </c>
      <c r="CN103" s="91">
        <v>3.29</v>
      </c>
      <c r="CO103" s="256">
        <f>IF(SCRF&gt;0,SCRMG/SCRF*100,"")</f>
        <v>50.46012269938651</v>
      </c>
      <c r="CP103" s="286"/>
      <c r="CQ103" s="256">
        <f>SCRF*(SCRL1+SCRL2)/4+(SCRMG-SCRF/2)*(SCRL1+SCRL2)/3</f>
        <v>30.487599999999997</v>
      </c>
      <c r="CR103" s="256" t="str">
        <f>IF(CO103&lt;'Look Ups'!$AC$4,"Yes","No")</f>
        <v>Yes</v>
      </c>
      <c r="CS103" s="267">
        <f>IF(CR103="Yes",MIN(150,('Look Ups'!$AC$4-PSCR)/('Look Ups'!$AC$4-'Look Ups'!$AC$3)*100),0)</f>
        <v>30.797546012269805</v>
      </c>
      <c r="CT103" s="83"/>
      <c r="CU103" s="91"/>
      <c r="CV103" s="91"/>
      <c r="CW103" s="91"/>
      <c r="CX103" s="256" t="str">
        <f>IF(USCRF&gt;0,USCRMG/USCRF*100,"")</f>
        <v/>
      </c>
      <c r="CY103" s="293">
        <f>IF(PUSCR&lt;'Look Ups'!$AC$4,MIN(150,('Look Ups'!$AC$4-PUSCR)/('Look Ups'!$AC$4-'Look Ups'!$AC$3)*100),0)</f>
        <v>0</v>
      </c>
      <c r="CZ103" s="275">
        <f>IF(PUSCR&lt;'Look Ups'!$AC$4,USCRF*(USCRL1+USCRL2)/4+(USCRMG-USCRF/2)*(USCRL1+USCRL2)/3,0)</f>
        <v>0</v>
      </c>
      <c r="DA103" s="294">
        <f>IF(ZVAL=1,1,IF(LPM&gt;0,0.64*((AM+MAM)/(E+(MC/2))^2)^0.3,0))</f>
        <v>1</v>
      </c>
      <c r="DB103" s="256">
        <f>0.65*((AM+MAM)*EFM)+0.35*((AM+MAM)*ZVAL)</f>
        <v>28.337137260000002</v>
      </c>
      <c r="DC103" s="256">
        <f>IF(ZVAL=1,1,IF(LPG&gt;0,0.72*(AG/(LPG^2))^0.3,0))</f>
        <v>1</v>
      </c>
      <c r="DD103" s="256">
        <f>AG*EFG</f>
        <v>12.08367</v>
      </c>
      <c r="DE103" s="256">
        <f>IF(AZ103&gt;0,'Look Ups'!$S$3,0)</f>
        <v>1</v>
      </c>
      <c r="DF103" s="256">
        <f>IF(LPS&gt;0,0.72*(AS/(LPS^2))^0.3,0)</f>
        <v>0</v>
      </c>
      <c r="DG103" s="256">
        <f>EFS*AS</f>
        <v>0</v>
      </c>
      <c r="DH103" s="256">
        <f>IF(LPD&gt;0,0.72*(AD/(LPD^2))^0.3,0)</f>
        <v>0</v>
      </c>
      <c r="DI103" s="280">
        <f>IF((AD-AG)&gt;0,0.3*(AD-AG)*EFD,0)</f>
        <v>0</v>
      </c>
      <c r="DJ103" s="295" t="str">
        <f>IF((SCRF=0),"-",IF(AND(MSASC&gt;AG,SCRMG&lt;(0.75*SCRF)),"valid","ERROR"))</f>
        <v>valid</v>
      </c>
      <c r="DK103" s="266" t="str">
        <f>IF((SF=0),"-",IF((SMG&lt;(0.75*SF)),"ERROR",IF(AND(MSASP&gt;MSASC,MSASP&gt;AG,MSASP&gt;=0.36*RSAM),"valid","Small")))</f>
        <v>valid</v>
      </c>
      <c r="DL103" s="267" t="str">
        <f>IF(C103="","",CONCATENATE("MG",IF(FLSCR="valid","Scr",""),IF(FLSPI="valid","SP","")))</f>
        <v>MGScrSP</v>
      </c>
      <c r="DM103" s="294">
        <f>RSAM+RSAG</f>
        <v>40.420807260000004</v>
      </c>
      <c r="DN103" s="256">
        <f>IF(MSASP&gt;0,'Look Ups'!$AI$4*(ZVAL*MSASP-RSAG),0)</f>
        <v>15.883636500000001</v>
      </c>
      <c r="DO103" s="256">
        <f>IF(AND(MSASC&gt;0,(MSASC&gt;=0.36*RSAM)),('Look Ups'!$AI$3*(ZVAL*MSASC-RSAG)),(0))</f>
        <v>6.4413754999999977</v>
      </c>
      <c r="DP103" s="256">
        <f>IF(MSASP&gt;0,'Look Ups'!$AI$5*(ZVAL*MSASP-RSAG),0)</f>
        <v>14.824727400000004</v>
      </c>
      <c r="DQ103" s="256">
        <f>IF(MSASC&gt;0,'Look Ups'!$AI$6*(MSASC-RSAG),0)</f>
        <v>1.2882750999999999</v>
      </c>
      <c r="DR103" s="280">
        <f>'Look Ups'!$AI$7*MAX(IF(MSAUSC&gt;0,EUSC/100*(MSAUSC-RSAG),0),IF(CR103="Yes",ELSC/100*(MSASC-RSAG),0))</f>
        <v>1.4169897024539813</v>
      </c>
      <c r="DS103" s="280">
        <f>0.36*RSAM</f>
        <v>10.2013694136</v>
      </c>
      <c r="DT103" s="296">
        <f>_xlfn.IFS(SPC="MG",RAMG+DS103,SPC="MGScr",RAMG+RASCO,SPC="MGSp",RAMG+RASPO,SPC="MGScrSp",RAMG+RASPSC+RASCR)+RAUSC+RSAST+RSAD+RSAMZ+RSA2M</f>
        <v>57.950799462453986</v>
      </c>
      <c r="DU103" s="63"/>
    </row>
    <row r="104" spans="1:125" ht="15.6" customHeight="1" x14ac:dyDescent="0.3">
      <c r="A104" s="4"/>
      <c r="B104" s="64"/>
      <c r="C104" s="64" t="s">
        <v>435</v>
      </c>
      <c r="D104" s="85" t="s">
        <v>436</v>
      </c>
      <c r="E104" s="86" t="s">
        <v>437</v>
      </c>
      <c r="F104" s="252">
        <f ca="1">IF(RW=0,0,ROUND(DLF*0.93*RL^LF*RSA^0.4/RW^0.325,3))</f>
        <v>0.79900000000000004</v>
      </c>
      <c r="G104" s="252" t="str">
        <f ca="1">IF(OR(FLSCR="ERROR",FLSPI="ERROR"),"No",IF(TODAY()-'Look Ups'!$D$4*365&gt;I104,"WP Applied","Yes"))</f>
        <v>Yes</v>
      </c>
      <c r="H104" s="253" t="str">
        <f>IF(SPC="","",CONCATENATE("Main-Genoa",IF(FLSCR="valid",IF(OR(CR104="Yes",MSAUSC&gt;0),"-Screacher (Upwind)","-Screacher"),""),IF(FLSPI="valid","-Spinnaker",""),IF(RSAMZ&gt;0,"-Mizzen",""),IF(RSA2M&gt;0,"-Second Main",""),IF(AS&gt;0,"-Staysail",""),IF(AD&gt;0,"-Drifter","")))</f>
        <v>Main-Genoa-Spinnaker</v>
      </c>
      <c r="I104" s="108">
        <v>44665</v>
      </c>
      <c r="J104" s="1">
        <v>44665</v>
      </c>
      <c r="K104" s="87" t="s">
        <v>438</v>
      </c>
      <c r="L104" s="87" t="s">
        <v>164</v>
      </c>
      <c r="M104" s="207"/>
      <c r="N104" s="88" t="s">
        <v>165</v>
      </c>
      <c r="O104" s="88"/>
      <c r="P104" s="100"/>
      <c r="Q104" s="90">
        <v>15.59</v>
      </c>
      <c r="R104" s="87"/>
      <c r="S104" s="256">
        <f>IF((LOAA&gt;LOA),0.025*LOAA,0.025*LOA)</f>
        <v>0.38975000000000004</v>
      </c>
      <c r="T104" s="91"/>
      <c r="U104" s="91">
        <v>0</v>
      </c>
      <c r="V104" s="258">
        <f>IF((_xlfn.SINGLE(LOAA)&gt;_xlfn.SINGLE(LOA)),_xlfn.SINGLE(LOAA),_xlfn.SINGLE(LOA)-_xlfn.SINGLE(FOC)-_xlfn.SINGLE(AOC))</f>
        <v>15.59</v>
      </c>
      <c r="W104" s="259">
        <f>IF(RL&gt;0,IF(RL&gt;'Look Ups'!Y$7,'Look Ups'!Y$8,('Look Ups'!Y$3*RL^3+'Look Ups'!Y$4*RL^2+'Look Ups'!Y$5*RL+'Look Ups'!Y$6)),0)</f>
        <v>0.3</v>
      </c>
      <c r="X104" s="92">
        <v>9915</v>
      </c>
      <c r="Y104" s="262">
        <f ca="1">IF(WDATE&lt;(TODAY()-'Look Ups'!$D$4*365),-WM*'Look Ups'!$D$5/100,0)</f>
        <v>0</v>
      </c>
      <c r="Z104" s="93"/>
      <c r="AA104" s="93"/>
      <c r="AB104" s="75"/>
      <c r="AC104" s="270">
        <f>WCD+NC*'Look Ups'!$AF$3</f>
        <v>0</v>
      </c>
      <c r="AD104" s="265">
        <f ca="1">IF(RL&lt;'Look Ups'!AM$3,'Look Ups'!AM$4,IF(RL&gt;'Look Ups'!AM$5,'Look Ups'!AM$6,(RL-'Look Ups'!AM$3)/('Look Ups'!AM$5-'Look Ups'!AM$3)*('Look Ups'!AM$6-'Look Ups'!AM$4)+'Look Ups'!AM$4))/100*WS</f>
        <v>991.5</v>
      </c>
      <c r="AE104" s="266">
        <f ca="1">WM+WP+WE</f>
        <v>9915</v>
      </c>
      <c r="AF104" s="267">
        <f ca="1">_xlfn.SINGLE(WS)+IF(_xlfn.SINGLE(TCW)&gt;=_xlfn.SINGLE(CWA),_xlfn.SINGLE(CWA),_xlfn.SINGLE(TCW))</f>
        <v>9915</v>
      </c>
      <c r="AG104" s="94" t="s">
        <v>145</v>
      </c>
      <c r="AH104" s="95" t="s">
        <v>146</v>
      </c>
      <c r="AI104" s="96" t="s">
        <v>177</v>
      </c>
      <c r="AJ104" s="218"/>
      <c r="AK104" s="273">
        <f>IF(C104="",0,VLOOKUP(AG104,'Look Ups'!$F$3:$G$6,2,0)*VLOOKUP(AH104,'Look Ups'!$I$3:$J$5,2,0)*VLOOKUP(AI104,'Look Ups'!$L$3:$M$7,2,0)*IF(AJ104="",1,VLOOKUP(AJ104,'Look Ups'!$O$3:$P$4,2,0)))</f>
        <v>0.99</v>
      </c>
      <c r="AL104" s="83">
        <v>17.940000000000001</v>
      </c>
      <c r="AM104" s="91">
        <v>17.43</v>
      </c>
      <c r="AN104" s="91">
        <v>4.87</v>
      </c>
      <c r="AO104" s="91">
        <v>1.74</v>
      </c>
      <c r="AP104" s="91">
        <v>0.53</v>
      </c>
      <c r="AQ104" s="91">
        <v>17.649999999999999</v>
      </c>
      <c r="AR104" s="91">
        <v>0.22</v>
      </c>
      <c r="AS104" s="91">
        <v>5</v>
      </c>
      <c r="AT104" s="91">
        <v>0.04</v>
      </c>
      <c r="AU104" s="91">
        <v>1</v>
      </c>
      <c r="AV104" s="91" t="s">
        <v>148</v>
      </c>
      <c r="AW104" s="97">
        <v>0</v>
      </c>
      <c r="AX104" s="256">
        <f>P+ER</f>
        <v>17.689999999999998</v>
      </c>
      <c r="AY104" s="256">
        <f>P*0.375*MC</f>
        <v>6.6187499999999995</v>
      </c>
      <c r="AZ104" s="275">
        <f>IF(C104="",0,(0.5*(_ML1*LPM)+0.5*(_ML1*HB)+0.66*(P*PR)+0.66*(_ML2*RDM)+0.66*(E*ER))*VLOOKUP(BATT,'Look Ups'!$U$3:$V$4,2,0))</f>
        <v>68.083494000000002</v>
      </c>
      <c r="BA104" s="98"/>
      <c r="BB104" s="99"/>
      <c r="BC104" s="83">
        <v>14.9</v>
      </c>
      <c r="BD104" s="91">
        <v>6.3</v>
      </c>
      <c r="BE104" s="91">
        <v>7.4</v>
      </c>
      <c r="BF104" s="91">
        <v>5.5E-2</v>
      </c>
      <c r="BG104" s="91">
        <v>12.65</v>
      </c>
      <c r="BH104" s="91"/>
      <c r="BI104" s="91"/>
      <c r="BJ104" s="91">
        <v>-0.4</v>
      </c>
      <c r="BK104" s="91">
        <v>-0.02</v>
      </c>
      <c r="BL104" s="97">
        <v>0</v>
      </c>
      <c r="BM104" s="275">
        <f>(0.5*LL*LPG)+(0.5*_LG1*HG)+(0.66*LL*LLRG)+(0.66*FG*FRG)+(IF((HG&gt;0),(0.66*_LG2*LRG),(0.66*_LG1*LRG)))</f>
        <v>43.667340000000003</v>
      </c>
      <c r="BN104" s="282"/>
      <c r="BO104" s="283"/>
      <c r="BP104" s="284"/>
      <c r="BQ104" s="284"/>
      <c r="BR104" s="283"/>
      <c r="BS104" s="284"/>
      <c r="BT104" s="284"/>
      <c r="BU104" s="280">
        <f>(0.5*LLS*LPS)+(0.66*LLS*LLRS)+(0.66*LS*LRS)+(0.66*FS*FRS)</f>
        <v>0</v>
      </c>
      <c r="BV104" s="285"/>
      <c r="BW104" s="283"/>
      <c r="BX104" s="283"/>
      <c r="BY104" s="283"/>
      <c r="BZ104" s="283"/>
      <c r="CA104" s="283"/>
      <c r="CB104" s="283"/>
      <c r="CC104" s="275">
        <f>(0.5*LLD*LPD)+(0.66*LLD*LLRD)+(0.66*LCHD*LRD)+(0.66*FD*FRD)</f>
        <v>0</v>
      </c>
      <c r="CD104" s="98">
        <v>11.83</v>
      </c>
      <c r="CE104" s="91">
        <v>17.440000000000001</v>
      </c>
      <c r="CF104" s="91">
        <v>19.98</v>
      </c>
      <c r="CG104" s="91">
        <v>11.08</v>
      </c>
      <c r="CH104" s="266">
        <f>IF(SF&gt;0,SMG/SF*100,"")</f>
        <v>93.660185967878277</v>
      </c>
      <c r="CI104" s="283"/>
      <c r="CJ104" s="280">
        <f>SF*(_SL1+_SL2)/4+(SMG-SF/2)*(_SL1+_SL2)/3</f>
        <v>175.09441666666669</v>
      </c>
      <c r="CK104" s="83"/>
      <c r="CL104" s="91"/>
      <c r="CM104" s="91"/>
      <c r="CN104" s="91"/>
      <c r="CO104" s="256" t="str">
        <f>IF(SCRF&gt;0,SCRMG/SCRF*100,"")</f>
        <v/>
      </c>
      <c r="CP104" s="283"/>
      <c r="CQ104" s="256">
        <f>SCRF*(SCRL1+SCRL2)/4+(SCRMG-SCRF/2)*(SCRL1+SCRL2)/3</f>
        <v>0</v>
      </c>
      <c r="CR104" s="256" t="str">
        <f>IF(CO104&lt;'Look Ups'!$AC$4,"Yes","No")</f>
        <v>No</v>
      </c>
      <c r="CS104" s="267">
        <f>IF(CR104="Yes",MIN(150,('Look Ups'!$AC$4-PSCR)/('Look Ups'!$AC$4-'Look Ups'!$AC$3)*100),0)</f>
        <v>0</v>
      </c>
      <c r="CT104" s="83"/>
      <c r="CU104" s="91"/>
      <c r="CV104" s="91"/>
      <c r="CW104" s="91"/>
      <c r="CX104" s="256" t="str">
        <f>IF(USCRF&gt;0,USCRMG/USCRF*100,"")</f>
        <v/>
      </c>
      <c r="CY104" s="293">
        <f>IF(PUSCR&lt;'Look Ups'!$AC$4,MIN(150,('Look Ups'!$AC$4-PUSCR)/('Look Ups'!$AC$4-'Look Ups'!$AC$3)*100),0)</f>
        <v>0</v>
      </c>
      <c r="CZ104" s="275">
        <f>IF(PUSCR&lt;'Look Ups'!$AC$4,USCRF*(USCRL1+USCRL2)/4+(USCRMG-USCRF/2)*(USCRL1+USCRL2)/3,0)</f>
        <v>0</v>
      </c>
      <c r="DA104" s="294">
        <f>IF(ZVAL=1,1,IF(LPM&gt;0,0.64*((AM+MAM)/(E+(MC/2))^2)^0.3,0))</f>
        <v>1</v>
      </c>
      <c r="DB104" s="256">
        <f>0.65*((AM+MAM)*EFM)+0.35*((AM+MAM)*ZVAL)</f>
        <v>74.702244000000007</v>
      </c>
      <c r="DC104" s="256">
        <f>IF(ZVAL=1,1,IF(LPG&gt;0,0.72*(AG/(LPG^2))^0.3,0))</f>
        <v>1</v>
      </c>
      <c r="DD104" s="256">
        <f>AG*EFG</f>
        <v>43.667340000000003</v>
      </c>
      <c r="DE104" s="256">
        <f>IF(AZ104&gt;0,'Look Ups'!$S$3,0)</f>
        <v>1</v>
      </c>
      <c r="DF104" s="256">
        <f>IF(LPS&gt;0,0.72*(AS/(LPS^2))^0.3,0)</f>
        <v>0</v>
      </c>
      <c r="DG104" s="256">
        <f>EFS*AS</f>
        <v>0</v>
      </c>
      <c r="DH104" s="256">
        <f>IF(LPD&gt;0,0.72*(AD/(LPD^2))^0.3,0)</f>
        <v>0</v>
      </c>
      <c r="DI104" s="280">
        <f>IF((AD-AG)&gt;0,0.3*(AD-AG)*EFD,0)</f>
        <v>0</v>
      </c>
      <c r="DJ104" s="295" t="str">
        <f>IF((SCRF=0),"-",IF(AND(MSASC&gt;AG,SCRMG&lt;(0.75*SCRF)),"valid","ERROR"))</f>
        <v>-</v>
      </c>
      <c r="DK104" s="266" t="str">
        <f>IF((SF=0),"-",IF((SMG&lt;(0.75*SF)),"ERROR",IF(AND(MSASP&gt;MSASC,MSASP&gt;AG,MSASP&gt;=0.36*RSAM),"valid","Small")))</f>
        <v>valid</v>
      </c>
      <c r="DL104" s="267" t="str">
        <f>IF(C104="","",CONCATENATE("MG",IF(FLSCR="valid","Scr",""),IF(FLSPI="valid","SP","")))</f>
        <v>MGSP</v>
      </c>
      <c r="DM104" s="294">
        <f>RSAM+RSAG</f>
        <v>118.369584</v>
      </c>
      <c r="DN104" s="256">
        <f>IF(MSASP&gt;0,'Look Ups'!$AI$4*(ZVAL*MSASP-RSAG),0)</f>
        <v>39.428123000000006</v>
      </c>
      <c r="DO104" s="256">
        <f>IF(AND(MSASC&gt;0,(MSASC&gt;=0.36*RSAM)),('Look Ups'!$AI$3*(ZVAL*MSASC-RSAG)),(0))</f>
        <v>0</v>
      </c>
      <c r="DP104" s="256">
        <f>IF(MSASP&gt;0,'Look Ups'!$AI$5*(ZVAL*MSASP-RSAG),0)</f>
        <v>36.79958146666668</v>
      </c>
      <c r="DQ104" s="256">
        <f>IF(MSASC&gt;0,'Look Ups'!$AI$6*(MSASC-RSAG),0)</f>
        <v>0</v>
      </c>
      <c r="DR104" s="280">
        <f>'Look Ups'!$AI$7*MAX(IF(MSAUSC&gt;0,EUSC/100*(MSAUSC-RSAG),0),IF(CR104="Yes",ELSC/100*(MSASC-RSAG),0))</f>
        <v>0</v>
      </c>
      <c r="DS104" s="280">
        <f>0.36*RSAM</f>
        <v>26.892807840000003</v>
      </c>
      <c r="DT104" s="296">
        <f>_xlfn.IFS(SPC="MG",RAMG+DS104,SPC="MGScr",RAMG+RASCO,SPC="MGSp",RAMG+RASPO,SPC="MGScrSp",RAMG+RASPSC+RASCR)+RAUSC+RSAST+RSAD+RSAMZ+RSA2M</f>
        <v>157.797707</v>
      </c>
      <c r="DU104" s="63"/>
    </row>
    <row r="105" spans="1:125" ht="15.6" customHeight="1" x14ac:dyDescent="0.3">
      <c r="A105" s="4"/>
      <c r="B105" s="64"/>
      <c r="C105" s="64" t="s">
        <v>1203</v>
      </c>
      <c r="D105" s="85" t="s">
        <v>1204</v>
      </c>
      <c r="E105" s="86" t="s">
        <v>1205</v>
      </c>
      <c r="F105" s="252">
        <f ca="1">IF(RW=0,0,ROUND(DLF*0.93*RL^LF*RSA^0.4/RW^0.325,3))</f>
        <v>0.79200000000000004</v>
      </c>
      <c r="G105" s="252" t="str">
        <f ca="1">IF(OR(FLSCR="ERROR",FLSPI="ERROR"),"No",IF(TODAY()-'Look Ups'!$D$4*365&gt;I105,"WP Applied","Yes"))</f>
        <v>WP Applied</v>
      </c>
      <c r="H105" s="253" t="str">
        <f>IF(SPC="","",CONCATENATE("Main-Genoa",IF(FLSCR="valid",IF(OR(CR105="Yes",MSAUSC&gt;0),"-Screacher (Upwind)","-Screacher"),""),IF(FLSPI="valid","-Spinnaker",""),IF(RSAMZ&gt;0,"-Mizzen",""),IF(RSA2M&gt;0,"-Second Main",""),IF(AS&gt;0,"-Staysail",""),IF(AD&gt;0,"-Drifter","")))</f>
        <v>Main-Genoa-Screacher-Spinnaker</v>
      </c>
      <c r="I105" s="108">
        <v>42009</v>
      </c>
      <c r="J105" s="1">
        <v>45645</v>
      </c>
      <c r="K105" s="87" t="s">
        <v>1206</v>
      </c>
      <c r="L105" s="87" t="s">
        <v>164</v>
      </c>
      <c r="M105" s="207" t="s">
        <v>1207</v>
      </c>
      <c r="N105" s="380" t="s">
        <v>165</v>
      </c>
      <c r="O105" s="380"/>
      <c r="P105" s="381"/>
      <c r="Q105" s="382">
        <v>14.81</v>
      </c>
      <c r="R105" s="87"/>
      <c r="S105" s="256">
        <f>IF((LOAA&gt;LOA),0.025*LOAA,0.025*LOA)</f>
        <v>0.37025000000000002</v>
      </c>
      <c r="T105" s="91">
        <v>0.37</v>
      </c>
      <c r="U105" s="91">
        <v>0</v>
      </c>
      <c r="V105" s="258">
        <f>IF((_xlfn.SINGLE(LOAA)&gt;_xlfn.SINGLE(LOA)),_xlfn.SINGLE(LOAA),_xlfn.SINGLE(LOA)-_xlfn.SINGLE(FOC)-_xlfn.SINGLE(AOC))</f>
        <v>14.440000000000001</v>
      </c>
      <c r="W105" s="259">
        <f>IF(RL&gt;0,IF(RL&gt;'Look Ups'!Y$7,'Look Ups'!Y$8,('Look Ups'!Y$3*RL^3+'Look Ups'!Y$4*RL^2+'Look Ups'!Y$5*RL+'Look Ups'!Y$6)),0)</f>
        <v>0.3</v>
      </c>
      <c r="X105" s="132">
        <v>10300</v>
      </c>
      <c r="Y105" s="262">
        <f ca="1">IF(WDATE&lt;(TODAY()-'Look Ups'!$D$4*365),-WM*'Look Ups'!$D$5/100,0)</f>
        <v>-1545</v>
      </c>
      <c r="Z105" s="93"/>
      <c r="AA105" s="93"/>
      <c r="AB105" s="75"/>
      <c r="AC105" s="270">
        <f>WCD+NC*'Look Ups'!$AF$3</f>
        <v>0</v>
      </c>
      <c r="AD105" s="265">
        <f ca="1">IF(RL&lt;'Look Ups'!AM$3,'Look Ups'!AM$4,IF(RL&gt;'Look Ups'!AM$5,'Look Ups'!AM$6,(RL-'Look Ups'!AM$3)/('Look Ups'!AM$5-'Look Ups'!AM$3)*('Look Ups'!AM$6-'Look Ups'!AM$4)+'Look Ups'!AM$4))/100*WS</f>
        <v>875.5</v>
      </c>
      <c r="AE105" s="266">
        <f ca="1">WM+WP+WE</f>
        <v>8755</v>
      </c>
      <c r="AF105" s="267">
        <f ca="1">_xlfn.SINGLE(WS)+IF(_xlfn.SINGLE(TCW)&gt;=_xlfn.SINGLE(CWA),_xlfn.SINGLE(CWA),_xlfn.SINGLE(TCW))</f>
        <v>8755</v>
      </c>
      <c r="AG105" s="94" t="s">
        <v>145</v>
      </c>
      <c r="AH105" s="95" t="s">
        <v>146</v>
      </c>
      <c r="AI105" s="96" t="s">
        <v>177</v>
      </c>
      <c r="AJ105" s="218"/>
      <c r="AK105" s="273">
        <f>IF(C105="",0,VLOOKUP(AG105,'Look Ups'!$F$3:$G$6,2,0)*VLOOKUP(AH105,'Look Ups'!$I$3:$J$5,2,0)*VLOOKUP(AI105,'Look Ups'!$L$3:$M$7,2,0)*IF(AJ105="",1,VLOOKUP(AJ105,'Look Ups'!$O$3:$P$4,2,0)))</f>
        <v>0.99</v>
      </c>
      <c r="AL105" s="83">
        <v>18.29</v>
      </c>
      <c r="AM105" s="91">
        <v>18</v>
      </c>
      <c r="AN105" s="91">
        <v>5.3</v>
      </c>
      <c r="AO105" s="91">
        <v>0.25</v>
      </c>
      <c r="AP105" s="91">
        <v>1.78</v>
      </c>
      <c r="AQ105" s="91">
        <v>17.440000000000001</v>
      </c>
      <c r="AR105" s="91">
        <v>0.12</v>
      </c>
      <c r="AS105" s="91">
        <v>5.92</v>
      </c>
      <c r="AT105" s="91">
        <v>0</v>
      </c>
      <c r="AU105" s="91"/>
      <c r="AV105" s="91" t="s">
        <v>148</v>
      </c>
      <c r="AW105" s="97" t="s">
        <v>1208</v>
      </c>
      <c r="AX105" s="256">
        <f>P+ER</f>
        <v>17.440000000000001</v>
      </c>
      <c r="AY105" s="256">
        <f>P*0.375*MC</f>
        <v>0</v>
      </c>
      <c r="AZ105" s="275">
        <f>IF(C105="",0,(0.5*(_ML1*LPM)+0.5*(_ML1*HB)+0.66*(P*PR)+0.66*(_ML2*RDM)+0.66*(E*ER))*VLOOKUP(BATT,'Look Ups'!$U$3:$V$4,2,0))</f>
        <v>73.282398000000001</v>
      </c>
      <c r="BA105" s="98"/>
      <c r="BB105" s="99"/>
      <c r="BC105" s="83">
        <v>17.95</v>
      </c>
      <c r="BD105" s="91">
        <v>4.99</v>
      </c>
      <c r="BE105" s="91">
        <v>5.05</v>
      </c>
      <c r="BF105" s="91">
        <v>0.13</v>
      </c>
      <c r="BG105" s="91">
        <v>16.55</v>
      </c>
      <c r="BH105" s="91">
        <v>16.55</v>
      </c>
      <c r="BI105" s="91"/>
      <c r="BJ105" s="91">
        <v>-0.14000000000000001</v>
      </c>
      <c r="BK105" s="91">
        <v>4.4999999999999998E-2</v>
      </c>
      <c r="BL105" s="97">
        <v>0</v>
      </c>
      <c r="BM105" s="275">
        <f>(0.5*LL*LPG)+(0.5*_LG1*HG)+(0.66*LL*LLRG)+(0.66*FG*FRG)+(IF((HG&gt;0),(0.66*_LG2*LRG),(0.66*_LG1*LRG)))</f>
        <v>44.222434999999997</v>
      </c>
      <c r="BN105" s="282"/>
      <c r="BO105" s="283"/>
      <c r="BP105" s="284"/>
      <c r="BQ105" s="284"/>
      <c r="BR105" s="283"/>
      <c r="BS105" s="284"/>
      <c r="BT105" s="284"/>
      <c r="BU105" s="280">
        <f>(0.5*LLS*LPS)+(0.66*LLS*LLRS)+(0.66*LS*LRS)+(0.66*FS*FRS)</f>
        <v>0</v>
      </c>
      <c r="BV105" s="285"/>
      <c r="BW105" s="283"/>
      <c r="BX105" s="283"/>
      <c r="BY105" s="283"/>
      <c r="BZ105" s="283"/>
      <c r="CA105" s="283"/>
      <c r="CB105" s="283"/>
      <c r="CC105" s="275">
        <f>(0.5*LLD*LPD)+(0.66*LLD*LLRD)+(0.66*LCHD*LRD)+(0.66*FD*FRD)</f>
        <v>0</v>
      </c>
      <c r="CD105" s="91">
        <v>9.43</v>
      </c>
      <c r="CE105" s="91">
        <v>16.97</v>
      </c>
      <c r="CF105" s="91">
        <v>15.2</v>
      </c>
      <c r="CG105" s="91">
        <v>10.47</v>
      </c>
      <c r="CH105" s="266">
        <f>IF(SF&gt;0,SMG/SF*100,"")</f>
        <v>111.0286320254507</v>
      </c>
      <c r="CI105" s="283"/>
      <c r="CJ105" s="280">
        <f>SF*(_SL1+_SL2)/4+(SMG-SF/2)*(_SL1+_SL2)/3</f>
        <v>137.55355833333334</v>
      </c>
      <c r="CK105" s="83">
        <v>8.49</v>
      </c>
      <c r="CL105" s="91">
        <v>19.97</v>
      </c>
      <c r="CM105" s="91">
        <v>17.350000000000001</v>
      </c>
      <c r="CN105" s="91">
        <v>6.22</v>
      </c>
      <c r="CO105" s="256">
        <f>IF(SCRF&gt;0,SCRMG/SCRF*100,"")</f>
        <v>73.262661955241455</v>
      </c>
      <c r="CP105" s="283"/>
      <c r="CQ105" s="256">
        <f>SCRF*(SCRL1+SCRL2)/4+(SCRMG-SCRF/2)*(SCRL1+SCRL2)/3</f>
        <v>103.78070000000001</v>
      </c>
      <c r="CR105" s="256" t="str">
        <f>IF(CO105&lt;'Look Ups'!$AC$4,"Yes","No")</f>
        <v>No</v>
      </c>
      <c r="CS105" s="267">
        <f>IF(CR105="Yes",MIN(150,('Look Ups'!$AC$4-PSCR)/('Look Ups'!$AC$4-'Look Ups'!$AC$3)*100),0)</f>
        <v>0</v>
      </c>
      <c r="CT105" s="83"/>
      <c r="CU105" s="91"/>
      <c r="CV105" s="91"/>
      <c r="CW105" s="91"/>
      <c r="CX105" s="256" t="str">
        <f>IF(USCRF&gt;0,USCRMG/USCRF*100,"")</f>
        <v/>
      </c>
      <c r="CY105" s="293">
        <f>IF(PUSCR&lt;'Look Ups'!$AC$4,MIN(150,('Look Ups'!$AC$4-PUSCR)/('Look Ups'!$AC$4-'Look Ups'!$AC$3)*100),0)</f>
        <v>0</v>
      </c>
      <c r="CZ105" s="275">
        <f>IF(PUSCR&lt;'Look Ups'!$AC$4,USCRF*(USCRL1+USCRL2)/4+(USCRMG-USCRF/2)*(USCRL1+USCRL2)/3,0)</f>
        <v>0</v>
      </c>
      <c r="DA105" s="294">
        <f>IF(ZVAL=1,1,IF(LPM&gt;0,0.64*((AM+MAM)/(E+(MC/2))^2)^0.3,0))</f>
        <v>1</v>
      </c>
      <c r="DB105" s="256">
        <f>0.65*((AM+MAM)*EFM)+0.35*((AM+MAM)*ZVAL)</f>
        <v>73.282398000000001</v>
      </c>
      <c r="DC105" s="256">
        <f>IF(ZVAL=1,1,IF(LPG&gt;0,0.72*(AG/(LPG^2))^0.3,0))</f>
        <v>1</v>
      </c>
      <c r="DD105" s="256">
        <f>AG*EFG</f>
        <v>44.222434999999997</v>
      </c>
      <c r="DE105" s="256">
        <f>IF(AZ105&gt;0,'Look Ups'!$S$3,0)</f>
        <v>1</v>
      </c>
      <c r="DF105" s="256">
        <f>IF(LPS&gt;0,0.72*(AS/(LPS^2))^0.3,0)</f>
        <v>0</v>
      </c>
      <c r="DG105" s="256">
        <f>EFS*AS</f>
        <v>0</v>
      </c>
      <c r="DH105" s="256">
        <f>IF(LPD&gt;0,0.72*(AD/(LPD^2))^0.3,0)</f>
        <v>0</v>
      </c>
      <c r="DI105" s="280">
        <f>IF((AD-AG)&gt;0,0.3*(AD-AG)*EFD,0)</f>
        <v>0</v>
      </c>
      <c r="DJ105" s="295" t="str">
        <f>IF((SCRF=0),"-",IF(AND(MSASC&gt;AG,SCRMG&lt;(0.75*SCRF)),"valid","ERROR"))</f>
        <v>valid</v>
      </c>
      <c r="DK105" s="266" t="str">
        <f>IF((SF=0),"-",IF((SMG&lt;(0.75*SF)),"ERROR",IF(AND(MSASP&gt;MSASC,MSASP&gt;AG,MSASP&gt;=0.36*RSAM),"valid","Small")))</f>
        <v>valid</v>
      </c>
      <c r="DL105" s="267" t="str">
        <f>IF(C105="","",CONCATENATE("MG",IF(FLSCR="valid","Scr",""),IF(FLSPI="valid","SP","")))</f>
        <v>MGScrSP</v>
      </c>
      <c r="DM105" s="294">
        <f>RSAM+RSAG</f>
        <v>117.50483299999999</v>
      </c>
      <c r="DN105" s="256">
        <f>IF(MSASP&gt;0,'Look Ups'!$AI$4*(ZVAL*MSASP-RSAG),0)</f>
        <v>27.999337000000004</v>
      </c>
      <c r="DO105" s="256">
        <f>IF(AND(MSASC&gt;0,(MSASC&gt;=0.36*RSAM)),('Look Ups'!$AI$3*(ZVAL*MSASC-RSAG)),(0))</f>
        <v>20.845392750000002</v>
      </c>
      <c r="DP105" s="256">
        <f>IF(MSASP&gt;0,'Look Ups'!$AI$5*(ZVAL*MSASP-RSAG),0)</f>
        <v>26.132714533333342</v>
      </c>
      <c r="DQ105" s="256">
        <f>IF(MSASC&gt;0,'Look Ups'!$AI$6*(MSASC-RSAG),0)</f>
        <v>4.1690785500000009</v>
      </c>
      <c r="DR105" s="280">
        <f>'Look Ups'!$AI$7*MAX(IF(MSAUSC&gt;0,EUSC/100*(MSAUSC-RSAG),0),IF(CR105="Yes",ELSC/100*(MSASC-RSAG),0))</f>
        <v>0</v>
      </c>
      <c r="DS105" s="280">
        <f>0.36*RSAM</f>
        <v>26.381663279999998</v>
      </c>
      <c r="DT105" s="296">
        <f>_xlfn.IFS(SPC="MG",RAMG+DS105,SPC="MGScr",RAMG+RASCO,SPC="MGSp",RAMG+RASPO,SPC="MGScrSp",RAMG+RASPSC+RASCR)+RAUSC+RSAST+RSAD+RSAMZ+RSA2M</f>
        <v>147.80662608333333</v>
      </c>
      <c r="DU105" s="107"/>
    </row>
    <row r="106" spans="1:125" ht="15.6" customHeight="1" x14ac:dyDescent="0.3">
      <c r="A106" s="4"/>
      <c r="B106" s="64"/>
      <c r="C106" s="64" t="s">
        <v>439</v>
      </c>
      <c r="D106" s="85" t="s">
        <v>440</v>
      </c>
      <c r="E106" s="86" t="s">
        <v>441</v>
      </c>
      <c r="F106" s="252">
        <f ca="1">IF(RW=0,0,ROUND(DLF*0.93*RL^LF*RSA^0.4/RW^0.325,3))</f>
        <v>1.325</v>
      </c>
      <c r="G106" s="252" t="str">
        <f ca="1">IF(OR(FLSCR="ERROR",FLSPI="ERROR"),"No",IF(TODAY()-'Look Ups'!$D$4*365&gt;I106,"WP Applied","Yes"))</f>
        <v>Yes</v>
      </c>
      <c r="H106" s="253" t="str">
        <f>IF(SPC="","",CONCATENATE("Main-Genoa",IF(FLSCR="valid",IF(OR(CR106="Yes",MSAUSC&gt;0),"-Screacher (Upwind)","-Screacher"),""),IF(FLSPI="valid","-Spinnaker",""),IF(RSAMZ&gt;0,"-Mizzen",""),IF(RSA2M&gt;0,"-Second Main",""),IF(AS&gt;0,"-Staysail",""),IF(AD&gt;0,"-Drifter","")))</f>
        <v>Main-Genoa-Screacher (Upwind)</v>
      </c>
      <c r="I106" s="1">
        <v>43868</v>
      </c>
      <c r="J106" s="1">
        <v>45007</v>
      </c>
      <c r="K106" s="116" t="s">
        <v>1127</v>
      </c>
      <c r="L106" s="87" t="s">
        <v>176</v>
      </c>
      <c r="M106" s="207" t="s">
        <v>1128</v>
      </c>
      <c r="N106" s="88" t="s">
        <v>143</v>
      </c>
      <c r="O106" s="88" t="s">
        <v>440</v>
      </c>
      <c r="P106" s="100"/>
      <c r="Q106" s="90">
        <v>18.28</v>
      </c>
      <c r="R106" s="87"/>
      <c r="S106" s="256">
        <f>IF((LOAA&gt;LOA),0.025*LOAA,0.025*LOA)</f>
        <v>0.45700000000000007</v>
      </c>
      <c r="T106" s="91"/>
      <c r="U106" s="91">
        <v>0</v>
      </c>
      <c r="V106" s="258">
        <f>IF((_xlfn.SINGLE(LOAA)&gt;_xlfn.SINGLE(LOA)),_xlfn.SINGLE(LOAA),_xlfn.SINGLE(LOA)-_xlfn.SINGLE(FOC)-_xlfn.SINGLE(AOC))</f>
        <v>18.28</v>
      </c>
      <c r="W106" s="259">
        <f>IF(RL&gt;0,IF(RL&gt;'Look Ups'!Y$7,'Look Ups'!Y$8,('Look Ups'!Y$3*RL^3+'Look Ups'!Y$4*RL^2+'Look Ups'!Y$5*RL+'Look Ups'!Y$6)),0)</f>
        <v>0.3</v>
      </c>
      <c r="X106" s="92">
        <v>7021</v>
      </c>
      <c r="Y106" s="262">
        <f ca="1">IF(WDATE&lt;(TODAY()-'Look Ups'!$D$4*365),-WM*'Look Ups'!$D$5/100,0)</f>
        <v>0</v>
      </c>
      <c r="Z106" s="117"/>
      <c r="AA106" s="93"/>
      <c r="AB106" s="75"/>
      <c r="AC106" s="270">
        <f>WCD+NC*'Look Ups'!$AF$3</f>
        <v>0</v>
      </c>
      <c r="AD106" s="265">
        <f ca="1">IF(RL&lt;'Look Ups'!AM$3,'Look Ups'!AM$4,IF(RL&gt;'Look Ups'!AM$5,'Look Ups'!AM$6,(RL-'Look Ups'!AM$3)/('Look Ups'!AM$5-'Look Ups'!AM$3)*('Look Ups'!AM$6-'Look Ups'!AM$4)+'Look Ups'!AM$4))/100*WS</f>
        <v>702.1</v>
      </c>
      <c r="AE106" s="266">
        <f ca="1">WM+WP+WE</f>
        <v>7021</v>
      </c>
      <c r="AF106" s="267">
        <f ca="1">_xlfn.SINGLE(WS)+IF(_xlfn.SINGLE(TCW)&gt;=_xlfn.SINGLE(CWA),_xlfn.SINGLE(CWA),_xlfn.SINGLE(TCW))</f>
        <v>7021</v>
      </c>
      <c r="AG106" s="94" t="s">
        <v>145</v>
      </c>
      <c r="AH106" s="95" t="s">
        <v>146</v>
      </c>
      <c r="AI106" s="96" t="s">
        <v>187</v>
      </c>
      <c r="AJ106" s="218"/>
      <c r="AK106" s="273">
        <f>IF(C106="",0,VLOOKUP(AG106,'Look Ups'!$F$3:$G$6,2,0)*VLOOKUP(AH106,'Look Ups'!$I$3:$J$5,2,0)*VLOOKUP(AI106,'Look Ups'!$L$3:$M$7,2,0)*IF(AJ106="",1,VLOOKUP(AJ106,'Look Ups'!$O$3:$P$4,2,0)))</f>
        <v>0.995</v>
      </c>
      <c r="AL106" s="83">
        <v>27.73</v>
      </c>
      <c r="AM106" s="91">
        <v>27.11</v>
      </c>
      <c r="AN106" s="91">
        <v>7.99</v>
      </c>
      <c r="AO106" s="91">
        <v>2.76</v>
      </c>
      <c r="AP106" s="91">
        <v>0.98</v>
      </c>
      <c r="AQ106" s="91">
        <v>27.6</v>
      </c>
      <c r="AR106" s="91">
        <v>0.2</v>
      </c>
      <c r="AS106" s="91">
        <v>8.1</v>
      </c>
      <c r="AT106" s="91">
        <v>0.14000000000000001</v>
      </c>
      <c r="AU106" s="91">
        <v>1.97</v>
      </c>
      <c r="AV106" s="91" t="s">
        <v>148</v>
      </c>
      <c r="AW106" s="97">
        <v>0</v>
      </c>
      <c r="AX106" s="256">
        <f>P+ER</f>
        <v>27.740000000000002</v>
      </c>
      <c r="AY106" s="256">
        <f>P*0.375*MC</f>
        <v>20.389500000000002</v>
      </c>
      <c r="AZ106" s="275">
        <f>IF(C106="",0,(0.5*(_ML1*LPM)+0.5*(_ML1*HB)+0.66*(P*PR)+0.66*(_ML2*RDM)+0.66*(E*ER))*VLOOKUP(BATT,'Look Ups'!$U$3:$V$4,2,0))</f>
        <v>170.97513799999999</v>
      </c>
      <c r="BA106" s="98"/>
      <c r="BB106" s="99"/>
      <c r="BC106" s="83">
        <v>25.74</v>
      </c>
      <c r="BD106" s="91">
        <v>9.27</v>
      </c>
      <c r="BE106" s="91">
        <v>9.8699999999999992</v>
      </c>
      <c r="BF106" s="91">
        <v>0.3</v>
      </c>
      <c r="BG106" s="91">
        <v>24.16</v>
      </c>
      <c r="BH106" s="91"/>
      <c r="BI106" s="91"/>
      <c r="BJ106" s="91">
        <v>-0.39</v>
      </c>
      <c r="BK106" s="91">
        <v>0.04</v>
      </c>
      <c r="BL106" s="97">
        <v>0</v>
      </c>
      <c r="BM106" s="275">
        <f>(0.5*LL*LPG)+(0.5*_LG1*HG)+(0.66*LL*LLRG)+(0.66*FG*FRG)+(IF((HG&gt;0),(0.66*_LG2*LRG),(0.66*_LG1*LRG)))</f>
        <v>115.71991199999999</v>
      </c>
      <c r="BN106" s="282"/>
      <c r="BO106" s="283"/>
      <c r="BP106" s="284"/>
      <c r="BQ106" s="284"/>
      <c r="BR106" s="283"/>
      <c r="BS106" s="284"/>
      <c r="BT106" s="284"/>
      <c r="BU106" s="280">
        <f>(0.5*LLS*LPS)+(0.66*LLS*LLRS)+(0.66*LS*LRS)+(0.66*FS*FRS)</f>
        <v>0</v>
      </c>
      <c r="BV106" s="285"/>
      <c r="BW106" s="283"/>
      <c r="BX106" s="283"/>
      <c r="BY106" s="283"/>
      <c r="BZ106" s="283"/>
      <c r="CA106" s="283"/>
      <c r="CB106" s="283"/>
      <c r="CC106" s="275">
        <f>(0.5*LLD*LPD)+(0.66*LLD*LLRD)+(0.66*LCHD*LRD)+(0.66*FD*FRD)</f>
        <v>0</v>
      </c>
      <c r="CD106" s="98"/>
      <c r="CE106" s="91"/>
      <c r="CF106" s="91"/>
      <c r="CG106" s="91"/>
      <c r="CH106" s="266" t="str">
        <f>IF(SF&gt;0,SMG/SF*100,"")</f>
        <v/>
      </c>
      <c r="CI106" s="283"/>
      <c r="CJ106" s="280">
        <f>SF*(_SL1+_SL2)/4+(SMG-SF/2)*(_SL1+_SL2)/3</f>
        <v>0</v>
      </c>
      <c r="CK106" s="83">
        <v>18.22</v>
      </c>
      <c r="CL106" s="91">
        <v>30.88</v>
      </c>
      <c r="CM106" s="91">
        <v>27.87</v>
      </c>
      <c r="CN106" s="91">
        <v>9.86</v>
      </c>
      <c r="CO106" s="256">
        <f>IF(SCRF&gt;0,SCRMG/SCRF*100,"")</f>
        <v>54.116355653128437</v>
      </c>
      <c r="CP106" s="283"/>
      <c r="CQ106" s="256">
        <f>SCRF*(SCRL1+SCRL2)/4+(SCRMG-SCRF/2)*(SCRL1+SCRL2)/3</f>
        <v>282.29374999999999</v>
      </c>
      <c r="CR106" s="256" t="str">
        <f>IF(CO106&lt;'Look Ups'!$AC$4,"Yes","No")</f>
        <v>No</v>
      </c>
      <c r="CS106" s="267">
        <f>IF(CR106="Yes",MIN(150,('Look Ups'!$AC$4-PSCR)/('Look Ups'!$AC$4-'Look Ups'!$AC$3)*100),0)</f>
        <v>0</v>
      </c>
      <c r="CT106" s="83">
        <v>12.5</v>
      </c>
      <c r="CU106" s="91">
        <v>28.25</v>
      </c>
      <c r="CV106" s="91">
        <v>25.21</v>
      </c>
      <c r="CW106" s="91">
        <v>6.26</v>
      </c>
      <c r="CX106" s="256">
        <f>IF(USCRF&gt;0,USCRMG/USCRF*100,"")</f>
        <v>50.080000000000005</v>
      </c>
      <c r="CY106" s="293">
        <f>IF(PUSCR&lt;'Look Ups'!$AC$4,MIN(150,('Look Ups'!$AC$4-PUSCR)/('Look Ups'!$AC$4-'Look Ups'!$AC$3)*100),0)</f>
        <v>38.399999999999892</v>
      </c>
      <c r="CZ106" s="275">
        <f>IF(PUSCR&lt;'Look Ups'!$AC$4,USCRF*(USCRL1+USCRL2)/4+(USCRMG-USCRF/2)*(USCRL1+USCRL2)/3,0)</f>
        <v>167.2407</v>
      </c>
      <c r="DA106" s="294">
        <f>IF(ZVAL=1,1,IF(LPM&gt;0,0.64*((AM+MAM)/(E+(MC/2))^2)^0.3,0))</f>
        <v>1</v>
      </c>
      <c r="DB106" s="256">
        <f>0.65*((AM+MAM)*EFM)+0.35*((AM+MAM)*ZVAL)</f>
        <v>191.36463799999999</v>
      </c>
      <c r="DC106" s="256">
        <f>IF(ZVAL=1,1,IF(LPG&gt;0,0.72*(AG/(LPG^2))^0.3,0))</f>
        <v>1</v>
      </c>
      <c r="DD106" s="256">
        <f>AG*EFG</f>
        <v>115.71991199999999</v>
      </c>
      <c r="DE106" s="256">
        <f>IF(AZ106&gt;0,'Look Ups'!$S$3,0)</f>
        <v>1</v>
      </c>
      <c r="DF106" s="256">
        <f>IF(LPS&gt;0,0.72*(AS/(LPS^2))^0.3,0)</f>
        <v>0</v>
      </c>
      <c r="DG106" s="256">
        <f>EFS*AS</f>
        <v>0</v>
      </c>
      <c r="DH106" s="256">
        <f>IF(LPD&gt;0,0.72*(AD/(LPD^2))^0.3,0)</f>
        <v>0</v>
      </c>
      <c r="DI106" s="280">
        <f>IF((AD-AG)&gt;0,0.3*(AD-AG)*EFD,0)</f>
        <v>0</v>
      </c>
      <c r="DJ106" s="295" t="str">
        <f>IF((SCRF=0),"-",IF(AND(MSASC&gt;AG,SCRMG&lt;(0.75*SCRF)),"valid","ERROR"))</f>
        <v>valid</v>
      </c>
      <c r="DK106" s="266" t="str">
        <f>IF((SF=0),"-",IF((SMG&lt;(0.75*SF)),"ERROR",IF(AND(MSASP&gt;MSASC,MSASP&gt;AG,MSASP&gt;=0.36*RSAM),"valid","Small")))</f>
        <v>-</v>
      </c>
      <c r="DL106" s="267" t="str">
        <f>IF(C106="","",CONCATENATE("MG",IF(FLSCR="valid","Scr",""),IF(FLSPI="valid","SP","")))</f>
        <v>MGScr</v>
      </c>
      <c r="DM106" s="294">
        <f>RSAM+RSAG</f>
        <v>307.08454999999998</v>
      </c>
      <c r="DN106" s="256">
        <f>IF(MSASP&gt;0,'Look Ups'!$AI$4*(ZVAL*MSASP-RSAG),0)</f>
        <v>0</v>
      </c>
      <c r="DO106" s="256">
        <f>IF(AND(MSASC&gt;0,(MSASC&gt;=0.36*RSAM)),('Look Ups'!$AI$3*(ZVAL*MSASC-RSAG)),(0))</f>
        <v>58.300843299999997</v>
      </c>
      <c r="DP106" s="256">
        <f>IF(MSASP&gt;0,'Look Ups'!$AI$5*(ZVAL*MSASP-RSAG),0)</f>
        <v>0</v>
      </c>
      <c r="DQ106" s="256">
        <f>IF(MSASC&gt;0,'Look Ups'!$AI$6*(MSASC-RSAG),0)</f>
        <v>11.66016866</v>
      </c>
      <c r="DR106" s="280">
        <f>'Look Ups'!$AI$7*MAX(IF(MSAUSC&gt;0,EUSC/100*(MSAUSC-RSAG),0),IF(CR106="Yes",ELSC/100*(MSASC-RSAG),0))</f>
        <v>4.9459956479999869</v>
      </c>
      <c r="DS106" s="280">
        <f>0.36*RSAM</f>
        <v>68.891269679999994</v>
      </c>
      <c r="DT106" s="296">
        <f>_xlfn.IFS(SPC="MG",RAMG+DS106,SPC="MGScr",RAMG+RASCO,SPC="MGSp",RAMG+RASPO,SPC="MGScrSp",RAMG+RASPSC+RASCR)+RAUSC+RSAST+RSAD+RSAMZ+RSA2M</f>
        <v>370.33138894799998</v>
      </c>
      <c r="DU106" s="63"/>
    </row>
    <row r="107" spans="1:125" ht="15.6" customHeight="1" x14ac:dyDescent="0.3">
      <c r="A107" s="4"/>
      <c r="B107" s="64"/>
      <c r="C107" s="64" t="s">
        <v>442</v>
      </c>
      <c r="D107" s="85" t="s">
        <v>443</v>
      </c>
      <c r="E107" s="86" t="s">
        <v>444</v>
      </c>
      <c r="F107" s="252">
        <f ca="1">IF(RW=0,0,ROUND(DLF*0.93*RL^LF*RSA^0.4/RW^0.325,3))</f>
        <v>0.82</v>
      </c>
      <c r="G107" s="252" t="str">
        <f ca="1">IF(OR(FLSCR="ERROR",FLSPI="ERROR"),"No",IF(TODAY()-'Look Ups'!$D$4*365&gt;I107,"WP Applied","Yes"))</f>
        <v>WP Applied</v>
      </c>
      <c r="H107" s="253" t="str">
        <f>IF(SPC="","",CONCATENATE("Main-Genoa",IF(FLSCR="valid",IF(OR(CR107="Yes",MSAUSC&gt;0),"-Screacher (Upwind)","-Screacher"),""),IF(FLSPI="valid","-Spinnaker",""),IF(RSAMZ&gt;0,"-Mizzen",""),IF(RSA2M&gt;0,"-Second Main",""),IF(AS&gt;0,"-Staysail",""),IF(AD&gt;0,"-Drifter","")))</f>
        <v>Main-Genoa-Spinnaker</v>
      </c>
      <c r="I107" s="1">
        <v>41512</v>
      </c>
      <c r="J107" s="1">
        <v>41494</v>
      </c>
      <c r="K107" s="87" t="s">
        <v>445</v>
      </c>
      <c r="L107" s="87" t="s">
        <v>159</v>
      </c>
      <c r="M107" s="207"/>
      <c r="N107" s="88" t="s">
        <v>165</v>
      </c>
      <c r="O107" s="88"/>
      <c r="P107" s="100"/>
      <c r="Q107" s="90">
        <v>11.14</v>
      </c>
      <c r="R107" s="87"/>
      <c r="S107" s="256">
        <f>IF((LOAA&gt;LOA),0.025*LOAA,0.025*LOA)</f>
        <v>0.27850000000000003</v>
      </c>
      <c r="T107" s="91">
        <v>7.0000000000000007E-2</v>
      </c>
      <c r="U107" s="91">
        <v>0</v>
      </c>
      <c r="V107" s="258">
        <f>IF((_xlfn.SINGLE(LOAA)&gt;_xlfn.SINGLE(LOA)),_xlfn.SINGLE(LOAA),_xlfn.SINGLE(LOA)-_xlfn.SINGLE(FOC)-_xlfn.SINGLE(AOC))</f>
        <v>11.07</v>
      </c>
      <c r="W107" s="259">
        <f>IF(RL&gt;0,IF(RL&gt;'Look Ups'!Y$7,'Look Ups'!Y$8,('Look Ups'!Y$3*RL^3+'Look Ups'!Y$4*RL^2+'Look Ups'!Y$5*RL+'Look Ups'!Y$6)),0)</f>
        <v>0.29956901741899999</v>
      </c>
      <c r="X107" s="92">
        <v>4156</v>
      </c>
      <c r="Y107" s="262">
        <f ca="1">IF(WDATE&lt;(TODAY()-'Look Ups'!$D$4*365),-WM*'Look Ups'!$D$5/100,0)</f>
        <v>-623.4</v>
      </c>
      <c r="Z107" s="93"/>
      <c r="AA107" s="93"/>
      <c r="AB107" s="75"/>
      <c r="AC107" s="265">
        <f>WCD+NC*'Look Ups'!$AF$3</f>
        <v>0</v>
      </c>
      <c r="AD107" s="265">
        <f ca="1">IF(RL&lt;'Look Ups'!AM$3,'Look Ups'!AM$4,IF(RL&gt;'Look Ups'!AM$5,'Look Ups'!AM$6,(RL-'Look Ups'!AM$3)/('Look Ups'!AM$5-'Look Ups'!AM$3)*('Look Ups'!AM$6-'Look Ups'!AM$4)+'Look Ups'!AM$4))/100*WS</f>
        <v>498.4177454545453</v>
      </c>
      <c r="AE107" s="266">
        <f ca="1">WM+WP+WE</f>
        <v>3532.6</v>
      </c>
      <c r="AF107" s="267">
        <f ca="1">_xlfn.SINGLE(WS)+IF(_xlfn.SINGLE(TCW)&gt;=_xlfn.SINGLE(CWA),_xlfn.SINGLE(CWA),_xlfn.SINGLE(TCW))</f>
        <v>3532.6</v>
      </c>
      <c r="AG107" s="94" t="s">
        <v>145</v>
      </c>
      <c r="AH107" s="95" t="s">
        <v>146</v>
      </c>
      <c r="AI107" s="96" t="s">
        <v>147</v>
      </c>
      <c r="AJ107" s="218"/>
      <c r="AK107" s="273">
        <f>IF(C107="",0,VLOOKUP(AG107,'Look Ups'!$F$3:$G$6,2,0)*VLOOKUP(AH107,'Look Ups'!$I$3:$J$5,2,0)*VLOOKUP(AI107,'Look Ups'!$L$3:$M$7,2,0)*IF(AJ107="",1,VLOOKUP(AJ107,'Look Ups'!$O$3:$P$4,2,0)))</f>
        <v>1</v>
      </c>
      <c r="AL107" s="83">
        <v>12.77</v>
      </c>
      <c r="AM107" s="91">
        <v>12.45</v>
      </c>
      <c r="AN107" s="91">
        <v>4.3099999999999996</v>
      </c>
      <c r="AO107" s="91">
        <v>1.34</v>
      </c>
      <c r="AP107" s="91">
        <v>0.61</v>
      </c>
      <c r="AQ107" s="91">
        <v>12.38</v>
      </c>
      <c r="AR107" s="91">
        <v>0.14000000000000001</v>
      </c>
      <c r="AS107" s="91">
        <v>4.49</v>
      </c>
      <c r="AT107" s="91">
        <v>0.03</v>
      </c>
      <c r="AU107" s="91"/>
      <c r="AV107" s="91" t="s">
        <v>148</v>
      </c>
      <c r="AW107" s="97"/>
      <c r="AX107" s="256">
        <f>P+ER</f>
        <v>12.41</v>
      </c>
      <c r="AY107" s="256">
        <f>P*0.375*MC</f>
        <v>0</v>
      </c>
      <c r="AZ107" s="275">
        <f>IF(C107="",0,(0.5*(_ML1*LPM)+0.5*(_ML1*HB)+0.66*(P*PR)+0.66*(_ML2*RDM)+0.66*(E*ER))*VLOOKUP(BATT,'Look Ups'!$U$3:$V$4,2,0))</f>
        <v>42.320433999999992</v>
      </c>
      <c r="BA107" s="98"/>
      <c r="BB107" s="99"/>
      <c r="BC107" s="83">
        <v>12.54</v>
      </c>
      <c r="BD107" s="91">
        <v>4.2699999999999996</v>
      </c>
      <c r="BE107" s="91">
        <v>4.95</v>
      </c>
      <c r="BF107" s="91">
        <v>0.14000000000000001</v>
      </c>
      <c r="BG107" s="91">
        <v>10.79</v>
      </c>
      <c r="BH107" s="91"/>
      <c r="BI107" s="91"/>
      <c r="BJ107" s="91">
        <v>-0.03</v>
      </c>
      <c r="BK107" s="91">
        <v>0</v>
      </c>
      <c r="BL107" s="97" t="s">
        <v>446</v>
      </c>
      <c r="BM107" s="275">
        <f>(0.5*LL*LPG)+(0.5*_LG1*HG)+(0.66*LL*LLRG)+(0.66*FG*FRG)+(IF((HG&gt;0),(0.66*_LG2*LRG),(0.66*_LG1*LRG)))</f>
        <v>27.016637999999997</v>
      </c>
      <c r="BN107" s="282"/>
      <c r="BO107" s="283"/>
      <c r="BP107" s="284"/>
      <c r="BQ107" s="284"/>
      <c r="BR107" s="283"/>
      <c r="BS107" s="284"/>
      <c r="BT107" s="284"/>
      <c r="BU107" s="280">
        <f>(0.5*LLS*LPS)+(0.66*LLS*LLRS)+(0.66*LS*LRS)+(0.66*FS*FRS)</f>
        <v>0</v>
      </c>
      <c r="BV107" s="285"/>
      <c r="BW107" s="283"/>
      <c r="BX107" s="283"/>
      <c r="BY107" s="283"/>
      <c r="BZ107" s="283"/>
      <c r="CA107" s="283"/>
      <c r="CB107" s="283"/>
      <c r="CC107" s="275">
        <f>(0.5*LLD*LPD)+(0.66*LLD*LLRD)+(0.66*LCHD*LRD)+(0.66*FD*FRD)</f>
        <v>0</v>
      </c>
      <c r="CD107" s="98">
        <v>9.92</v>
      </c>
      <c r="CE107" s="91">
        <v>14.65</v>
      </c>
      <c r="CF107" s="91">
        <v>13.55</v>
      </c>
      <c r="CG107" s="91">
        <v>8.48</v>
      </c>
      <c r="CH107" s="266">
        <f>IF(SF&gt;0,SMG/SF*100,"")</f>
        <v>85.483870967741936</v>
      </c>
      <c r="CI107" s="283"/>
      <c r="CJ107" s="280">
        <f>SF*(_SL1+_SL2)/4+(SMG-SF/2)*(_SL1+_SL2)/3</f>
        <v>103.02400000000002</v>
      </c>
      <c r="CK107" s="83"/>
      <c r="CL107" s="91"/>
      <c r="CM107" s="91"/>
      <c r="CN107" s="91"/>
      <c r="CO107" s="256" t="str">
        <f>IF(SCRF&gt;0,SCRMG/SCRF*100,"")</f>
        <v/>
      </c>
      <c r="CP107" s="283"/>
      <c r="CQ107" s="256">
        <f>SCRF*(SCRL1+SCRL2)/4+(SCRMG-SCRF/2)*(SCRL1+SCRL2)/3</f>
        <v>0</v>
      </c>
      <c r="CR107" s="256" t="str">
        <f>IF(CO107&lt;'Look Ups'!$AC$4,"Yes","No")</f>
        <v>No</v>
      </c>
      <c r="CS107" s="267">
        <f>IF(CR107="Yes",MIN(150,('Look Ups'!$AC$4-PSCR)/('Look Ups'!$AC$4-'Look Ups'!$AC$3)*100),0)</f>
        <v>0</v>
      </c>
      <c r="CT107" s="83"/>
      <c r="CU107" s="91"/>
      <c r="CV107" s="91"/>
      <c r="CW107" s="91"/>
      <c r="CX107" s="256" t="str">
        <f>IF(USCRF&gt;0,USCRMG/USCRF*100,"")</f>
        <v/>
      </c>
      <c r="CY107" s="293">
        <f>IF(PUSCR&lt;'Look Ups'!$AC$4,MIN(150,('Look Ups'!$AC$4-PUSCR)/('Look Ups'!$AC$4-'Look Ups'!$AC$3)*100),0)</f>
        <v>0</v>
      </c>
      <c r="CZ107" s="275">
        <f>IF(PUSCR&lt;'Look Ups'!$AC$4,USCRF*(USCRL1+USCRL2)/4+(USCRMG-USCRF/2)*(USCRL1+USCRL2)/3,0)</f>
        <v>0</v>
      </c>
      <c r="DA107" s="294">
        <f>IF(ZVAL=1,1,IF(LPM&gt;0,0.64*((AM+MAM)/(E+(MC/2))^2)^0.3,0))</f>
        <v>1</v>
      </c>
      <c r="DB107" s="256">
        <f>0.65*((AM+MAM)*EFM)+0.35*((AM+MAM)*ZVAL)</f>
        <v>42.320433999999992</v>
      </c>
      <c r="DC107" s="256">
        <f>IF(ZVAL=1,1,IF(LPG&gt;0,0.72*(AG/(LPG^2))^0.3,0))</f>
        <v>1</v>
      </c>
      <c r="DD107" s="256">
        <f>AG*EFG</f>
        <v>27.016637999999997</v>
      </c>
      <c r="DE107" s="256">
        <f>IF(AZ107&gt;0,'Look Ups'!$S$3,0)</f>
        <v>1</v>
      </c>
      <c r="DF107" s="256">
        <f>IF(LPS&gt;0,0.72*(AS/(LPS^2))^0.3,0)</f>
        <v>0</v>
      </c>
      <c r="DG107" s="256">
        <f>EFS*AS</f>
        <v>0</v>
      </c>
      <c r="DH107" s="256">
        <f>IF(LPD&gt;0,0.72*(AD/(LPD^2))^0.3,0)</f>
        <v>0</v>
      </c>
      <c r="DI107" s="280">
        <f>IF((AD-AG)&gt;0,0.3*(AD-AG)*EFD,0)</f>
        <v>0</v>
      </c>
      <c r="DJ107" s="295" t="str">
        <f>IF((SCRF=0),"-",IF(AND(MSASC&gt;AG,SCRMG&lt;(0.75*SCRF)),"valid","ERROR"))</f>
        <v>-</v>
      </c>
      <c r="DK107" s="266" t="str">
        <f>IF((SF=0),"-",IF((SMG&lt;(0.75*SF)),"ERROR",IF(AND(MSASP&gt;MSASC,MSASP&gt;AG,MSASP&gt;=0.36*RSAM),"valid","Small")))</f>
        <v>valid</v>
      </c>
      <c r="DL107" s="267" t="str">
        <f>IF(C107="","",CONCATENATE("MG",IF(FLSCR="valid","Scr",""),IF(FLSPI="valid","SP","")))</f>
        <v>MGSP</v>
      </c>
      <c r="DM107" s="294">
        <f>RSAM+RSAG</f>
        <v>69.337071999999992</v>
      </c>
      <c r="DN107" s="256">
        <f>IF(MSASP&gt;0,'Look Ups'!$AI$4*(ZVAL*MSASP-RSAG),0)</f>
        <v>22.802208600000004</v>
      </c>
      <c r="DO107" s="256">
        <f>IF(AND(MSASC&gt;0,(MSASC&gt;=0.36*RSAM)),('Look Ups'!$AI$3*(ZVAL*MSASC-RSAG)),(0))</f>
        <v>0</v>
      </c>
      <c r="DP107" s="256">
        <f>IF(MSASP&gt;0,'Look Ups'!$AI$5*(ZVAL*MSASP-RSAG),0)</f>
        <v>21.282061360000007</v>
      </c>
      <c r="DQ107" s="256">
        <f>IF(MSASC&gt;0,'Look Ups'!$AI$6*(MSASC-RSAG),0)</f>
        <v>0</v>
      </c>
      <c r="DR107" s="280">
        <f>'Look Ups'!$AI$7*MAX(IF(MSAUSC&gt;0,EUSC/100*(MSAUSC-RSAG),0),IF(CR107="Yes",ELSC/100*(MSASC-RSAG),0))</f>
        <v>0</v>
      </c>
      <c r="DS107" s="280">
        <f>0.36*RSAM</f>
        <v>15.235356239999996</v>
      </c>
      <c r="DT107" s="296">
        <f>_xlfn.IFS(SPC="MG",RAMG+DS107,SPC="MGScr",RAMG+RASCO,SPC="MGSp",RAMG+RASPO,SPC="MGScrSp",RAMG+RASPSC+RASCR)+RAUSC+RSAST+RSAD+RSAMZ+RSA2M</f>
        <v>92.139280599999992</v>
      </c>
      <c r="DU107" s="63"/>
    </row>
    <row r="108" spans="1:125" ht="15.6" customHeight="1" x14ac:dyDescent="0.3">
      <c r="A108" s="4"/>
      <c r="B108" s="64"/>
      <c r="C108" s="64" t="s">
        <v>447</v>
      </c>
      <c r="D108" s="90" t="s">
        <v>448</v>
      </c>
      <c r="E108" s="86" t="s">
        <v>449</v>
      </c>
      <c r="F108" s="252">
        <f ca="1">IF(RW=0,0,ROUND(DLF*0.93*RL^LF*RSA^0.4/RW^0.325,3))</f>
        <v>0.70599999999999996</v>
      </c>
      <c r="G108" s="252" t="str">
        <f ca="1">IF(OR(FLSCR="ERROR",FLSPI="ERROR"),"No",IF(TODAY()-'Look Ups'!$D$4*365&gt;I108,"WP Applied","Yes"))</f>
        <v>Yes</v>
      </c>
      <c r="H108" s="253" t="str">
        <f>IF(SPC="","",CONCATENATE("Main-Genoa",IF(FLSCR="valid",IF(OR(CR108="Yes",MSAUSC&gt;0),"-Screacher (Upwind)","-Screacher"),""),IF(FLSPI="valid","-Spinnaker",""),IF(RSAMZ&gt;0,"-Mizzen",""),IF(RSA2M&gt;0,"-Second Main",""),IF(AS&gt;0,"-Staysail",""),IF(AD&gt;0,"-Drifter","")))</f>
        <v>Main-Genoa-Screacher (Upwind)-Spinnaker</v>
      </c>
      <c r="I108" s="1" t="s">
        <v>450</v>
      </c>
      <c r="J108" s="1">
        <v>44231</v>
      </c>
      <c r="K108" s="87" t="s">
        <v>451</v>
      </c>
      <c r="L108" s="87" t="s">
        <v>159</v>
      </c>
      <c r="M108" s="207"/>
      <c r="N108" s="88" t="s">
        <v>165</v>
      </c>
      <c r="O108" s="88"/>
      <c r="P108" s="89">
        <v>7.1</v>
      </c>
      <c r="Q108" s="90">
        <v>14.32</v>
      </c>
      <c r="R108" s="87"/>
      <c r="S108" s="256">
        <f>IF((LOAA&gt;LOA),0.025*LOAA,0.025*LOA)</f>
        <v>0.35800000000000004</v>
      </c>
      <c r="T108" s="91">
        <v>0.32</v>
      </c>
      <c r="U108" s="91">
        <v>0</v>
      </c>
      <c r="V108" s="258">
        <f>IF((_xlfn.SINGLE(LOAA)&gt;_xlfn.SINGLE(LOA)),_xlfn.SINGLE(LOAA),_xlfn.SINGLE(LOA)-_xlfn.SINGLE(FOC)-_xlfn.SINGLE(AOC))</f>
        <v>14</v>
      </c>
      <c r="W108" s="259">
        <f>IF(RL&gt;0,IF(RL&gt;'Look Ups'!Y$7,'Look Ups'!Y$8,('Look Ups'!Y$3*RL^3+'Look Ups'!Y$4*RL^2+'Look Ups'!Y$5*RL+'Look Ups'!Y$6)),0)</f>
        <v>0.3</v>
      </c>
      <c r="X108" s="92">
        <v>10480</v>
      </c>
      <c r="Y108" s="262">
        <f ca="1">IF(WDATE&lt;(TODAY()-'Look Ups'!$D$4*365),-WM*'Look Ups'!$D$5/100,0)</f>
        <v>0</v>
      </c>
      <c r="Z108" s="93"/>
      <c r="AA108" s="93"/>
      <c r="AB108" s="75"/>
      <c r="AC108" s="265">
        <f>WCD+NC*'Look Ups'!$AF$3</f>
        <v>0</v>
      </c>
      <c r="AD108" s="265">
        <f ca="1">IF(RL&lt;'Look Ups'!AM$3,'Look Ups'!AM$4,IF(RL&gt;'Look Ups'!AM$5,'Look Ups'!AM$6,(RL-'Look Ups'!AM$3)/('Look Ups'!AM$5-'Look Ups'!AM$3)*('Look Ups'!AM$6-'Look Ups'!AM$4)+'Look Ups'!AM$4))/100*WS</f>
        <v>1048</v>
      </c>
      <c r="AE108" s="266">
        <f ca="1">WM+WP+WE</f>
        <v>10480</v>
      </c>
      <c r="AF108" s="267">
        <f ca="1">_xlfn.SINGLE(WS)+IF(_xlfn.SINGLE(TCW)&gt;=_xlfn.SINGLE(CWA),_xlfn.SINGLE(CWA),_xlfn.SINGLE(TCW))</f>
        <v>10480</v>
      </c>
      <c r="AG108" s="94" t="s">
        <v>145</v>
      </c>
      <c r="AH108" s="95" t="s">
        <v>146</v>
      </c>
      <c r="AI108" s="96" t="s">
        <v>177</v>
      </c>
      <c r="AJ108" s="218"/>
      <c r="AK108" s="273">
        <f>IF(C108="",0,VLOOKUP(AG108,'Look Ups'!$F$3:$G$6,2,0)*VLOOKUP(AH108,'Look Ups'!$I$3:$J$5,2,0)*VLOOKUP(AI108,'Look Ups'!$L$3:$M$7,2,0)*IF(AJ108="",1,VLOOKUP(AJ108,'Look Ups'!$O$3:$P$4,2,0)))</f>
        <v>0.99</v>
      </c>
      <c r="AL108" s="83">
        <v>16.59</v>
      </c>
      <c r="AM108" s="91">
        <v>16.14</v>
      </c>
      <c r="AN108" s="91">
        <v>5.23</v>
      </c>
      <c r="AO108" s="91">
        <v>1.66</v>
      </c>
      <c r="AP108" s="91">
        <v>0.74</v>
      </c>
      <c r="AQ108" s="91">
        <v>16.079999999999998</v>
      </c>
      <c r="AR108" s="91">
        <v>0.28999999999999998</v>
      </c>
      <c r="AS108" s="91">
        <v>5.44</v>
      </c>
      <c r="AT108" s="91">
        <v>0.06</v>
      </c>
      <c r="AU108" s="91">
        <v>0.76</v>
      </c>
      <c r="AV108" s="91" t="s">
        <v>148</v>
      </c>
      <c r="AW108" s="97">
        <v>0</v>
      </c>
      <c r="AX108" s="256">
        <f>P+ER</f>
        <v>16.139999999999997</v>
      </c>
      <c r="AY108" s="256">
        <f>P*0.375*MC</f>
        <v>4.5827999999999998</v>
      </c>
      <c r="AZ108" s="275">
        <f>IF(C108="",0,(0.5*(_ML1*LPM)+0.5*(_ML1*HB)+0.66*(P*PR)+0.66*(_ML2*RDM)+0.66*(E*ER))*VLOOKUP(BATT,'Look Ups'!$U$3:$V$4,2,0))</f>
        <v>68.328462000000002</v>
      </c>
      <c r="BA108" s="98"/>
      <c r="BB108" s="99"/>
      <c r="BC108" s="83">
        <v>14.35</v>
      </c>
      <c r="BD108" s="91">
        <v>3.72</v>
      </c>
      <c r="BE108" s="91">
        <v>4.09</v>
      </c>
      <c r="BF108" s="91">
        <v>0.13</v>
      </c>
      <c r="BG108" s="91">
        <v>13.07</v>
      </c>
      <c r="BH108" s="91"/>
      <c r="BI108" s="91"/>
      <c r="BJ108" s="91">
        <v>0.09</v>
      </c>
      <c r="BK108" s="91">
        <v>0</v>
      </c>
      <c r="BL108" s="97"/>
      <c r="BM108" s="275">
        <f>(0.5*LL*LPG)+(0.5*_LG1*HG)+(0.66*LL*LLRG)+(0.66*FG*FRG)+(IF((HG&gt;0),(0.66*_LG2*LRG),(0.66*_LG1*LRG)))</f>
        <v>27.818280000000001</v>
      </c>
      <c r="BN108" s="282"/>
      <c r="BO108" s="283"/>
      <c r="BP108" s="284"/>
      <c r="BQ108" s="284"/>
      <c r="BR108" s="283"/>
      <c r="BS108" s="284"/>
      <c r="BT108" s="284"/>
      <c r="BU108" s="280">
        <f>(0.5*LLS*LPS)+(0.66*LLS*LLRS)+(0.66*LS*LRS)+(0.66*FS*FRS)</f>
        <v>0</v>
      </c>
      <c r="BV108" s="285"/>
      <c r="BW108" s="283"/>
      <c r="BX108" s="283"/>
      <c r="BY108" s="283"/>
      <c r="BZ108" s="283"/>
      <c r="CA108" s="283"/>
      <c r="CB108" s="283"/>
      <c r="CC108" s="275">
        <f>(0.5*LLD*LPD)+(0.66*LLD*LLRD)+(0.66*LCHD*LRD)+(0.66*FD*FRD)</f>
        <v>0</v>
      </c>
      <c r="CD108" s="98">
        <v>9.9</v>
      </c>
      <c r="CE108" s="91">
        <v>17.059999999999999</v>
      </c>
      <c r="CF108" s="91">
        <v>15.67</v>
      </c>
      <c r="CG108" s="91">
        <v>8.65</v>
      </c>
      <c r="CH108" s="266">
        <f>IF(SF&gt;0,SMG/SF*100,"")</f>
        <v>87.37373737373737</v>
      </c>
      <c r="CI108" s="283"/>
      <c r="CJ108" s="280">
        <f>SF*(_SL1+_SL2)/4+(SMG-SF/2)*(_SL1+_SL2)/3</f>
        <v>121.37375</v>
      </c>
      <c r="CK108" s="83">
        <v>9.32</v>
      </c>
      <c r="CL108" s="91">
        <v>16.53</v>
      </c>
      <c r="CM108" s="91">
        <v>13.13</v>
      </c>
      <c r="CN108" s="91">
        <v>4.78</v>
      </c>
      <c r="CO108" s="256">
        <f>IF(SCRF&gt;0,SCRMG/SCRF*100,"")</f>
        <v>51.287553648068673</v>
      </c>
      <c r="CP108" s="283"/>
      <c r="CQ108" s="256">
        <f>SCRF*(SCRL1+SCRL2)/4+(SCRMG-SCRF/2)*(SCRL1+SCRL2)/3</f>
        <v>70.294200000000018</v>
      </c>
      <c r="CR108" s="256" t="str">
        <f>IF(CO108&lt;'Look Ups'!$AC$4,"Yes","No")</f>
        <v>Yes</v>
      </c>
      <c r="CS108" s="267">
        <f>IF(CR108="Yes",MIN(150,('Look Ups'!$AC$4-PSCR)/('Look Ups'!$AC$4-'Look Ups'!$AC$3)*100),0)</f>
        <v>14.248927038626533</v>
      </c>
      <c r="CT108" s="83"/>
      <c r="CU108" s="91"/>
      <c r="CV108" s="91"/>
      <c r="CW108" s="91"/>
      <c r="CX108" s="256" t="str">
        <f>IF(USCRF&gt;0,USCRMG/USCRF*100,"")</f>
        <v/>
      </c>
      <c r="CY108" s="293">
        <f>IF(PUSCR&lt;'Look Ups'!$AC$4,MIN(150,('Look Ups'!$AC$4-PUSCR)/('Look Ups'!$AC$4-'Look Ups'!$AC$3)*100),0)</f>
        <v>0</v>
      </c>
      <c r="CZ108" s="275">
        <f>IF(PUSCR&lt;'Look Ups'!$AC$4,USCRF*(USCRL1+USCRL2)/4+(USCRMG-USCRF/2)*(USCRL1+USCRL2)/3,0)</f>
        <v>0</v>
      </c>
      <c r="DA108" s="294">
        <f>IF(ZVAL=1,1,IF(LPM&gt;0,0.64*((AM+MAM)/(E+(MC/2))^2)^0.3,0))</f>
        <v>1</v>
      </c>
      <c r="DB108" s="256">
        <f>0.65*((AM+MAM)*EFM)+0.35*((AM+MAM)*ZVAL)</f>
        <v>72.911262000000008</v>
      </c>
      <c r="DC108" s="256">
        <f>IF(ZVAL=1,1,IF(LPG&gt;0,0.72*(AG/(LPG^2))^0.3,0))</f>
        <v>1</v>
      </c>
      <c r="DD108" s="256">
        <f>AG*EFG</f>
        <v>27.818280000000001</v>
      </c>
      <c r="DE108" s="256">
        <f>IF(AZ108&gt;0,'Look Ups'!$S$3,0)</f>
        <v>1</v>
      </c>
      <c r="DF108" s="256">
        <f>IF(LPS&gt;0,0.72*(AS/(LPS^2))^0.3,0)</f>
        <v>0</v>
      </c>
      <c r="DG108" s="256">
        <f>EFS*AS</f>
        <v>0</v>
      </c>
      <c r="DH108" s="256">
        <f>IF(LPD&gt;0,0.72*(AD/(LPD^2))^0.3,0)</f>
        <v>0</v>
      </c>
      <c r="DI108" s="280">
        <f>IF((AD-AG)&gt;0,0.3*(AD-AG)*EFD,0)</f>
        <v>0</v>
      </c>
      <c r="DJ108" s="295" t="str">
        <f>IF((SCRF=0),"-",IF(AND(MSASC&gt;AG,SCRMG&lt;(0.75*SCRF)),"valid","ERROR"))</f>
        <v>valid</v>
      </c>
      <c r="DK108" s="266" t="str">
        <f>IF((SF=0),"-",IF((SMG&lt;(0.75*SF)),"ERROR",IF(AND(MSASP&gt;MSASC,MSASP&gt;AG,MSASP&gt;=0.36*RSAM),"valid","Small")))</f>
        <v>valid</v>
      </c>
      <c r="DL108" s="267" t="str">
        <f>IF(C108="","",CONCATENATE("MG",IF(FLSCR="valid","Scr",""),IF(FLSPI="valid","SP","")))</f>
        <v>MGScrSP</v>
      </c>
      <c r="DM108" s="294">
        <f>RSAM+RSAG</f>
        <v>100.72954200000001</v>
      </c>
      <c r="DN108" s="256">
        <f>IF(MSASP&gt;0,'Look Ups'!$AI$4*(ZVAL*MSASP-RSAG),0)</f>
        <v>28.066641000000001</v>
      </c>
      <c r="DO108" s="256">
        <f>IF(AND(MSASC&gt;0,(MSASC&gt;=0.36*RSAM)),('Look Ups'!$AI$3*(ZVAL*MSASC-RSAG)),(0))</f>
        <v>14.866572000000005</v>
      </c>
      <c r="DP108" s="256">
        <f>IF(MSASP&gt;0,'Look Ups'!$AI$5*(ZVAL*MSASP-RSAG),0)</f>
        <v>26.195531600000002</v>
      </c>
      <c r="DQ108" s="256">
        <f>IF(MSASC&gt;0,'Look Ups'!$AI$6*(MSASC-RSAG),0)</f>
        <v>2.9733144000000014</v>
      </c>
      <c r="DR108" s="280">
        <f>'Look Ups'!$AI$7*MAX(IF(MSAUSC&gt;0,EUSC/100*(MSAUSC-RSAG),0),IF(CR108="Yes",ELSC/100*(MSASC-RSAG),0))</f>
        <v>1.5130907124463444</v>
      </c>
      <c r="DS108" s="280">
        <f>0.36*RSAM</f>
        <v>26.248054320000001</v>
      </c>
      <c r="DT108" s="296">
        <f>_xlfn.IFS(SPC="MG",RAMG+DS108,SPC="MGScr",RAMG+RASCO,SPC="MGSp",RAMG+RASPO,SPC="MGScrSp",RAMG+RASPSC+RASCR)+RAUSC+RSAST+RSAD+RSAMZ+RSA2M</f>
        <v>131.41147871244635</v>
      </c>
      <c r="DU108" s="63"/>
    </row>
    <row r="109" spans="1:125" ht="15.6" customHeight="1" x14ac:dyDescent="0.3">
      <c r="A109" s="4"/>
      <c r="B109" s="64"/>
      <c r="C109" s="64" t="s">
        <v>452</v>
      </c>
      <c r="D109" s="85" t="s">
        <v>453</v>
      </c>
      <c r="E109" s="86" t="s">
        <v>454</v>
      </c>
      <c r="F109" s="252">
        <f ca="1">IF(RW=0,0,ROUND(DLF*0.93*RL^LF*RSA^0.4/RW^0.325,3))</f>
        <v>1.1359999999999999</v>
      </c>
      <c r="G109" s="252" t="str">
        <f ca="1">IF(OR(FLSCR="ERROR",FLSPI="ERROR"),"No",IF(TODAY()-'Look Ups'!$D$4*365&gt;I109,"WP Applied","Yes"))</f>
        <v>Yes</v>
      </c>
      <c r="H109" s="253" t="str">
        <f>IF(SPC="","",CONCATENATE("Main-Genoa",IF(FLSCR="valid",IF(OR(CR109="Yes",MSAUSC&gt;0),"-Screacher (Upwind)","-Screacher"),""),IF(FLSPI="valid","-Spinnaker",""),IF(RSAMZ&gt;0,"-Mizzen",""),IF(RSA2M&gt;0,"-Second Main",""),IF(AS&gt;0,"-Staysail",""),IF(AD&gt;0,"-Drifter","")))</f>
        <v>Main-Genoa-Screacher</v>
      </c>
      <c r="I109" s="1">
        <v>45686</v>
      </c>
      <c r="J109" s="1">
        <v>45686</v>
      </c>
      <c r="K109" s="1" t="s">
        <v>142</v>
      </c>
      <c r="L109" s="87" t="s">
        <v>164</v>
      </c>
      <c r="M109" s="207"/>
      <c r="N109" s="88" t="s">
        <v>165</v>
      </c>
      <c r="O109" s="88"/>
      <c r="P109" s="100"/>
      <c r="Q109" s="90">
        <v>8.85</v>
      </c>
      <c r="R109" s="87"/>
      <c r="S109" s="256">
        <f>IF((LOAA&gt;LOA),0.025*LOAA,0.025*LOA)</f>
        <v>0.22125</v>
      </c>
      <c r="T109" s="91">
        <v>0</v>
      </c>
      <c r="U109" s="91">
        <v>0</v>
      </c>
      <c r="V109" s="258">
        <f>IF((_xlfn.SINGLE(LOAA)&gt;_xlfn.SINGLE(LOA)),_xlfn.SINGLE(LOAA),_xlfn.SINGLE(LOA)-_xlfn.SINGLE(FOC)-_xlfn.SINGLE(AOC))</f>
        <v>8.85</v>
      </c>
      <c r="W109" s="259">
        <f>IF(RL&gt;0,IF(RL&gt;'Look Ups'!Y$7,'Look Ups'!Y$8,('Look Ups'!Y$3*RL^3+'Look Ups'!Y$4*RL^2+'Look Ups'!Y$5*RL+'Look Ups'!Y$6)),0)</f>
        <v>0.29629758612500001</v>
      </c>
      <c r="X109" s="92">
        <v>680</v>
      </c>
      <c r="Y109" s="262">
        <f ca="1">IF(WDATE&lt;(TODAY()-'Look Ups'!$D$4*365),-WM*'Look Ups'!$D$5/100,0)</f>
        <v>0</v>
      </c>
      <c r="Z109" s="93"/>
      <c r="AA109" s="93"/>
      <c r="AB109" s="223"/>
      <c r="AC109" s="386">
        <f>WCD+NC*'Look Ups'!$AF$3</f>
        <v>0</v>
      </c>
      <c r="AD109" s="265">
        <f ca="1">IF(RL&lt;'Look Ups'!AM$3,'Look Ups'!AM$4,IF(RL&gt;'Look Ups'!AM$5,'Look Ups'!AM$6,(RL-'Look Ups'!AM$3)/('Look Ups'!AM$5-'Look Ups'!AM$3)*('Look Ups'!AM$6-'Look Ups'!AM$4)+'Look Ups'!AM$4))/100*WS</f>
        <v>150.83636363636364</v>
      </c>
      <c r="AE109" s="266">
        <f ca="1">WM+WP+WE</f>
        <v>680</v>
      </c>
      <c r="AF109" s="267">
        <f ca="1">_xlfn.SINGLE(WS)+IF(_xlfn.SINGLE(TCW)&gt;=_xlfn.SINGLE(CWA),_xlfn.SINGLE(CWA),_xlfn.SINGLE(TCW))</f>
        <v>680</v>
      </c>
      <c r="AG109" s="94" t="s">
        <v>145</v>
      </c>
      <c r="AH109" s="95" t="s">
        <v>146</v>
      </c>
      <c r="AI109" s="96" t="s">
        <v>147</v>
      </c>
      <c r="AJ109" s="218"/>
      <c r="AK109" s="273">
        <f>IF(C109="",0,VLOOKUP(AG109,'Look Ups'!$F$3:$G$6,2,0)*VLOOKUP(AH109,'Look Ups'!$I$3:$J$5,2,0)*VLOOKUP(AI109,'Look Ups'!$L$3:$M$7,2,0)*IF(AJ109="",1,VLOOKUP(AJ109,'Look Ups'!$O$3:$P$4,2,0)))</f>
        <v>1</v>
      </c>
      <c r="AL109" s="83">
        <v>13.37</v>
      </c>
      <c r="AM109" s="91">
        <v>13.09</v>
      </c>
      <c r="AN109" s="91">
        <v>3.86</v>
      </c>
      <c r="AO109" s="91">
        <v>1.42</v>
      </c>
      <c r="AP109" s="91">
        <v>0.24</v>
      </c>
      <c r="AQ109" s="91">
        <v>13.22</v>
      </c>
      <c r="AR109" s="91">
        <v>0.17</v>
      </c>
      <c r="AS109" s="91">
        <v>3.92</v>
      </c>
      <c r="AT109" s="91">
        <v>0</v>
      </c>
      <c r="AU109" s="91">
        <v>0.51500000000000001</v>
      </c>
      <c r="AV109" s="91" t="s">
        <v>148</v>
      </c>
      <c r="AW109" s="97"/>
      <c r="AX109" s="256">
        <f>P+ER</f>
        <v>13.22</v>
      </c>
      <c r="AY109" s="256">
        <f>P*0.375*MC</f>
        <v>2.5531125000000001</v>
      </c>
      <c r="AZ109" s="275">
        <f>IF(C109="",0,(0.5*(_ML1*LPM)+0.5*(_ML1*HB)+0.66*(P*PR)+0.66*(_ML2*RDM)+0.66*(E*ER))*VLOOKUP(BATT,'Look Ups'!$U$3:$V$4,2,0))</f>
        <v>38.853539999999995</v>
      </c>
      <c r="BA109" s="98"/>
      <c r="BB109" s="99"/>
      <c r="BC109" s="83">
        <v>11.06</v>
      </c>
      <c r="BD109" s="91">
        <v>2.73</v>
      </c>
      <c r="BE109" s="91">
        <v>2.84</v>
      </c>
      <c r="BF109" s="91">
        <v>0.13</v>
      </c>
      <c r="BG109" s="91">
        <v>10.52</v>
      </c>
      <c r="BH109" s="91">
        <v>10.42</v>
      </c>
      <c r="BI109" s="91">
        <v>0.2</v>
      </c>
      <c r="BJ109" s="91">
        <v>0</v>
      </c>
      <c r="BK109" s="91">
        <v>0</v>
      </c>
      <c r="BL109" s="97" t="s">
        <v>446</v>
      </c>
      <c r="BM109" s="275">
        <f>(0.5*LL*LPG)+(0.5*_LG1*HG)+(0.66*LL*LLRG)+(0.66*FG*FRG)+(IF((HG&gt;0),(0.66*_LG2*LRG),(0.66*_LG1*LRG)))</f>
        <v>16.392572000000001</v>
      </c>
      <c r="BN109" s="282"/>
      <c r="BO109" s="283"/>
      <c r="BP109" s="284"/>
      <c r="BQ109" s="284"/>
      <c r="BR109" s="283"/>
      <c r="BS109" s="284"/>
      <c r="BT109" s="284"/>
      <c r="BU109" s="280">
        <f>(0.5*LLS*LPS)+(0.66*LLS*LLRS)+(0.66*LS*LRS)+(0.66*FS*FRS)</f>
        <v>0</v>
      </c>
      <c r="BV109" s="285"/>
      <c r="BW109" s="283"/>
      <c r="BX109" s="283"/>
      <c r="BY109" s="283"/>
      <c r="BZ109" s="283"/>
      <c r="CA109" s="283"/>
      <c r="CB109" s="283"/>
      <c r="CC109" s="275">
        <f>(0.5*LLD*LPD)+(0.66*LLD*LLRD)+(0.66*LCHD*LRD)+(0.66*FD*FRD)</f>
        <v>0</v>
      </c>
      <c r="CD109" s="98"/>
      <c r="CE109" s="91"/>
      <c r="CF109" s="91"/>
      <c r="CG109" s="91"/>
      <c r="CH109" s="266" t="str">
        <f>IF(SF&gt;0,SMG/SF*100,"")</f>
        <v/>
      </c>
      <c r="CI109" s="283"/>
      <c r="CJ109" s="280">
        <f>SF*(_SL1+_SL2)/4+(SMG-SF/2)*(_SL1+_SL2)/3</f>
        <v>0</v>
      </c>
      <c r="CK109" s="83">
        <v>6</v>
      </c>
      <c r="CL109" s="91">
        <v>11.56</v>
      </c>
      <c r="CM109" s="91">
        <v>13.56</v>
      </c>
      <c r="CN109" s="91">
        <v>3.12</v>
      </c>
      <c r="CO109" s="256">
        <f>IF(SCRF&gt;0,SCRMG/SCRF*100,"")</f>
        <v>52</v>
      </c>
      <c r="CP109" s="283"/>
      <c r="CQ109" s="256">
        <f>SCRF*(SCRL1+SCRL2)/4+(SCRMG-SCRF/2)*(SCRL1+SCRL2)/3</f>
        <v>38.684800000000003</v>
      </c>
      <c r="CR109" s="256" t="str">
        <f>IF(CO109&lt;'Look Ups'!$AC$4,"Yes","No")</f>
        <v>No</v>
      </c>
      <c r="CS109" s="267">
        <f>IF(CR109="Yes",MIN(150,('Look Ups'!$AC$4-PSCR)/('Look Ups'!$AC$4-'Look Ups'!$AC$3)*100),0)</f>
        <v>0</v>
      </c>
      <c r="CT109" s="83"/>
      <c r="CU109" s="91"/>
      <c r="CV109" s="91"/>
      <c r="CW109" s="91"/>
      <c r="CX109" s="256" t="str">
        <f>IF(USCRF&gt;0,USCRMG/USCRF*100,"")</f>
        <v/>
      </c>
      <c r="CY109" s="293">
        <f>IF(PUSCR&lt;'Look Ups'!$AC$4,MIN(150,('Look Ups'!$AC$4-PUSCR)/('Look Ups'!$AC$4-'Look Ups'!$AC$3)*100),0)</f>
        <v>0</v>
      </c>
      <c r="CZ109" s="275">
        <f>IF(PUSCR&lt;'Look Ups'!$AC$4,USCRF*(USCRL1+USCRL2)/4+(USCRMG-USCRF/2)*(USCRL1+USCRL2)/3,0)</f>
        <v>0</v>
      </c>
      <c r="DA109" s="294">
        <f>IF(ZVAL=1,1,IF(LPM&gt;0,0.64*((AM+MAM)/(E+(MC/2))^2)^0.3,0))</f>
        <v>1</v>
      </c>
      <c r="DB109" s="256">
        <f>0.65*((AM+MAM)*EFM)+0.35*((AM+MAM)*ZVAL)</f>
        <v>41.406652499999993</v>
      </c>
      <c r="DC109" s="256">
        <f>IF(ZVAL=1,1,IF(LPG&gt;0,0.72*(AG/(LPG^2))^0.3,0))</f>
        <v>1</v>
      </c>
      <c r="DD109" s="256">
        <f>AG*EFG</f>
        <v>16.392572000000001</v>
      </c>
      <c r="DE109" s="256">
        <f>IF(AZ109&gt;0,'Look Ups'!$S$3,0)</f>
        <v>1</v>
      </c>
      <c r="DF109" s="256">
        <f>IF(LPS&gt;0,0.72*(AS/(LPS^2))^0.3,0)</f>
        <v>0</v>
      </c>
      <c r="DG109" s="256">
        <f>EFS*AS</f>
        <v>0</v>
      </c>
      <c r="DH109" s="256">
        <f>IF(LPD&gt;0,0.72*(AD/(LPD^2))^0.3,0)</f>
        <v>0</v>
      </c>
      <c r="DI109" s="280">
        <f>IF((AD-AG)&gt;0,0.3*(AD-AG)*EFD,0)</f>
        <v>0</v>
      </c>
      <c r="DJ109" s="295" t="str">
        <f>IF((SCRF=0),"-",IF(AND(MSASC&gt;AG,SCRMG&lt;(0.75*SCRF)),"valid","ERROR"))</f>
        <v>valid</v>
      </c>
      <c r="DK109" s="266" t="str">
        <f>IF((SF=0),"-",IF((SMG&lt;(0.75*SF)),"ERROR",IF(AND(MSASP&gt;MSASC,MSASP&gt;AG,MSASP&gt;=0.36*RSAM),"valid","Small")))</f>
        <v>-</v>
      </c>
      <c r="DL109" s="267" t="str">
        <f>IF(C109="","",CONCATENATE("MG",IF(FLSCR="valid","Scr",""),IF(FLSPI="valid","SP","")))</f>
        <v>MGScr</v>
      </c>
      <c r="DM109" s="294">
        <f>RSAM+RSAG</f>
        <v>57.799224499999994</v>
      </c>
      <c r="DN109" s="256">
        <f>IF(MSASP&gt;0,'Look Ups'!$AI$4*(ZVAL*MSASP-RSAG),0)</f>
        <v>0</v>
      </c>
      <c r="DO109" s="256">
        <f>IF(AND(MSASC&gt;0,(MSASC&gt;=0.36*RSAM)),('Look Ups'!$AI$3*(ZVAL*MSASC-RSAG)),(0))</f>
        <v>7.8022798</v>
      </c>
      <c r="DP109" s="256">
        <f>IF(MSASP&gt;0,'Look Ups'!$AI$5*(ZVAL*MSASP-RSAG),0)</f>
        <v>0</v>
      </c>
      <c r="DQ109" s="256">
        <f>IF(MSASC&gt;0,'Look Ups'!$AI$6*(MSASC-RSAG),0)</f>
        <v>1.5604559600000003</v>
      </c>
      <c r="DR109" s="280">
        <f>'Look Ups'!$AI$7*MAX(IF(MSAUSC&gt;0,EUSC/100*(MSAUSC-RSAG),0),IF(CR109="Yes",ELSC/100*(MSASC-RSAG),0))</f>
        <v>0</v>
      </c>
      <c r="DS109" s="280">
        <f>0.36*RSAM</f>
        <v>14.906394899999997</v>
      </c>
      <c r="DT109" s="296">
        <f>_xlfn.IFS(SPC="MG",RAMG+DS109,SPC="MGScr",RAMG+RASCO,SPC="MGSp",RAMG+RASPO,SPC="MGScrSp",RAMG+RASPSC+RASCR)+RAUSC+RSAST+RSAD+RSAMZ+RSA2M</f>
        <v>65.601504299999988</v>
      </c>
      <c r="DU109" s="63"/>
    </row>
    <row r="110" spans="1:125" ht="15.6" customHeight="1" x14ac:dyDescent="0.3">
      <c r="A110" s="4"/>
      <c r="B110" s="64"/>
      <c r="C110" s="65" t="s">
        <v>455</v>
      </c>
      <c r="D110" s="111" t="s">
        <v>456</v>
      </c>
      <c r="E110" s="67" t="s">
        <v>457</v>
      </c>
      <c r="F110" s="252">
        <f ca="1">IF(RW=0,0,ROUND(DLF*0.93*RL^LF*RSA^0.4/RW^0.325,3))</f>
        <v>0.86199999999999999</v>
      </c>
      <c r="G110" s="252" t="str">
        <f ca="1">IF(OR(FLSCR="ERROR",FLSPI="ERROR"),"No",IF(TODAY()-'Look Ups'!$D$4*365&gt;I110,"WP Applied","Yes"))</f>
        <v>Yes</v>
      </c>
      <c r="H110" s="253" t="str">
        <f>IF(SPC="","",CONCATENATE("Main-Genoa",IF(FLSCR="valid",IF(OR(CR110="Yes",MSAUSC&gt;0),"-Screacher (Upwind)","-Screacher"),""),IF(FLSPI="valid","-Spinnaker",""),IF(RSAMZ&gt;0,"-Mizzen",""),IF(RSA2M&gt;0,"-Second Main",""),IF(AS&gt;0,"-Staysail",""),IF(AD&gt;0,"-Drifter","")))</f>
        <v>Main-Genoa-Screacher (Upwind)-Spinnaker</v>
      </c>
      <c r="I110" s="68">
        <v>43490</v>
      </c>
      <c r="J110" s="68">
        <v>44251</v>
      </c>
      <c r="K110" s="69" t="s">
        <v>141</v>
      </c>
      <c r="L110" s="69" t="s">
        <v>164</v>
      </c>
      <c r="M110" s="208"/>
      <c r="N110" s="70" t="s">
        <v>165</v>
      </c>
      <c r="O110" s="70"/>
      <c r="P110" s="71"/>
      <c r="Q110" s="72">
        <v>14.2</v>
      </c>
      <c r="R110" s="69"/>
      <c r="S110" s="256">
        <f>IF((LOAA&gt;LOA),0.025*LOAA,0.025*LOA)</f>
        <v>0.35499999999999998</v>
      </c>
      <c r="T110" s="73"/>
      <c r="U110" s="73">
        <v>0</v>
      </c>
      <c r="V110" s="258">
        <f>IF((_xlfn.SINGLE(LOAA)&gt;_xlfn.SINGLE(LOA)),_xlfn.SINGLE(LOAA),_xlfn.SINGLE(LOA)-_xlfn.SINGLE(FOC)-_xlfn.SINGLE(AOC))</f>
        <v>14.2</v>
      </c>
      <c r="W110" s="259">
        <f>IF(RL&gt;0,IF(RL&gt;'Look Ups'!Y$7,'Look Ups'!Y$8,('Look Ups'!Y$3*RL^3+'Look Ups'!Y$4*RL^2+'Look Ups'!Y$5*RL+'Look Ups'!Y$6)),0)</f>
        <v>0.3</v>
      </c>
      <c r="X110" s="74">
        <v>5687</v>
      </c>
      <c r="Y110" s="262">
        <f ca="1">IF(WDATE&lt;(TODAY()-'Look Ups'!$D$4*365),-WM*'Look Ups'!$D$5/100,0)</f>
        <v>0</v>
      </c>
      <c r="Z110" s="75"/>
      <c r="AA110" s="93"/>
      <c r="AB110" s="231"/>
      <c r="AC110" s="270">
        <f>WCD+NC*'Look Ups'!$AF$3</f>
        <v>0</v>
      </c>
      <c r="AD110" s="265">
        <f ca="1">IF(RL&lt;'Look Ups'!AM$3,'Look Ups'!AM$4,IF(RL&gt;'Look Ups'!AM$5,'Look Ups'!AM$6,(RL-'Look Ups'!AM$3)/('Look Ups'!AM$5-'Look Ups'!AM$3)*('Look Ups'!AM$6-'Look Ups'!AM$4)+'Look Ups'!AM$4))/100*WS</f>
        <v>568.70000000000005</v>
      </c>
      <c r="AE110" s="266">
        <f ca="1">WM+WP+WE</f>
        <v>5687</v>
      </c>
      <c r="AF110" s="267">
        <f ca="1">_xlfn.SINGLE(WS)+IF(_xlfn.SINGLE(TCW)&gt;=_xlfn.SINGLE(CWA),_xlfn.SINGLE(CWA),_xlfn.SINGLE(TCW))</f>
        <v>5687</v>
      </c>
      <c r="AG110" s="76" t="s">
        <v>145</v>
      </c>
      <c r="AH110" s="77" t="s">
        <v>146</v>
      </c>
      <c r="AI110" s="78" t="s">
        <v>147</v>
      </c>
      <c r="AJ110" s="217"/>
      <c r="AK110" s="273">
        <f>IF(C110="",0,VLOOKUP(AG110,'Look Ups'!$F$3:$G$6,2,0)*VLOOKUP(AH110,'Look Ups'!$I$3:$J$5,2,0)*VLOOKUP(AI110,'Look Ups'!$L$3:$M$7,2,0)*IF(AJ110="",1,VLOOKUP(AJ110,'Look Ups'!$O$3:$P$4,2,0)))</f>
        <v>1</v>
      </c>
      <c r="AL110" s="79">
        <v>14.96</v>
      </c>
      <c r="AM110" s="73">
        <v>14.32</v>
      </c>
      <c r="AN110" s="73">
        <v>5.82</v>
      </c>
      <c r="AO110" s="73">
        <v>1.73</v>
      </c>
      <c r="AP110" s="73">
        <v>0.4</v>
      </c>
      <c r="AQ110" s="73">
        <v>14.76</v>
      </c>
      <c r="AR110" s="73">
        <v>0.17499999999999999</v>
      </c>
      <c r="AS110" s="73">
        <v>5.98</v>
      </c>
      <c r="AT110" s="73">
        <v>0.05</v>
      </c>
      <c r="AU110" s="73"/>
      <c r="AV110" s="73" t="s">
        <v>148</v>
      </c>
      <c r="AW110" s="80">
        <v>0</v>
      </c>
      <c r="AX110" s="256">
        <f>P+ER</f>
        <v>14.81</v>
      </c>
      <c r="AY110" s="256">
        <f>P*0.375*MC</f>
        <v>0</v>
      </c>
      <c r="AZ110" s="275">
        <f>IF(C110="",0,(0.5*(_ML1*LPM)+0.5*(_ML1*HB)+0.66*(P*PR)+0.66*(_ML2*RDM)+0.66*(E*ER))*VLOOKUP(BATT,'Look Ups'!$U$3:$V$4,2,0))</f>
        <v>62.156599999999997</v>
      </c>
      <c r="BA110" s="81"/>
      <c r="BB110" s="82"/>
      <c r="BC110" s="79">
        <v>14.44</v>
      </c>
      <c r="BD110" s="73">
        <v>3.75</v>
      </c>
      <c r="BE110" s="73">
        <v>4.25</v>
      </c>
      <c r="BF110" s="73">
        <v>0.11</v>
      </c>
      <c r="BG110" s="73">
        <v>12.9</v>
      </c>
      <c r="BH110" s="73"/>
      <c r="BI110" s="73"/>
      <c r="BJ110" s="73">
        <v>0.17</v>
      </c>
      <c r="BK110" s="73">
        <v>-7.0000000000000007E-2</v>
      </c>
      <c r="BL110" s="80">
        <v>0</v>
      </c>
      <c r="BM110" s="275">
        <f>(0.5*LL*LPG)+(0.5*_LG1*HG)+(0.66*LL*LLRG)+(0.66*FG*FRG)+(IF((HG&gt;0),(0.66*_LG2*LRG),(0.66*_LG1*LRG)))</f>
        <v>28.163801999999997</v>
      </c>
      <c r="BN110" s="282"/>
      <c r="BO110" s="283"/>
      <c r="BP110" s="284"/>
      <c r="BQ110" s="284"/>
      <c r="BR110" s="283"/>
      <c r="BS110" s="284"/>
      <c r="BT110" s="284"/>
      <c r="BU110" s="280">
        <f>(0.5*LLS*LPS)+(0.66*LLS*LLRS)+(0.66*LS*LRS)+(0.66*FS*FRS)</f>
        <v>0</v>
      </c>
      <c r="BV110" s="281"/>
      <c r="BW110" s="278"/>
      <c r="BX110" s="278"/>
      <c r="BY110" s="278"/>
      <c r="BZ110" s="278"/>
      <c r="CA110" s="278"/>
      <c r="CB110" s="278"/>
      <c r="CC110" s="275">
        <f>(0.5*LLD*LPD)+(0.66*LLD*LLRD)+(0.66*LCHD*LRD)+(0.66*FD*FRD)</f>
        <v>0</v>
      </c>
      <c r="CD110" s="81">
        <v>10.94</v>
      </c>
      <c r="CE110" s="73">
        <v>16.75</v>
      </c>
      <c r="CF110" s="73">
        <v>14.6</v>
      </c>
      <c r="CG110" s="73">
        <v>10.96</v>
      </c>
      <c r="CH110" s="266">
        <f>IF(SF&gt;0,SMG/SF*100,"")</f>
        <v>100.18281535648997</v>
      </c>
      <c r="CI110" s="283"/>
      <c r="CJ110" s="280">
        <f>SF*(_SL1+_SL2)/4+(SMG-SF/2)*(_SL1+_SL2)/3</f>
        <v>143.11275000000001</v>
      </c>
      <c r="CK110" s="79">
        <v>7.69</v>
      </c>
      <c r="CL110" s="73">
        <v>15.8</v>
      </c>
      <c r="CM110" s="73">
        <v>13.62</v>
      </c>
      <c r="CN110" s="73">
        <v>3.85</v>
      </c>
      <c r="CO110" s="256">
        <f>IF(SCRF&gt;0,SCRMG/SCRF*100,"")</f>
        <v>50.065019505851751</v>
      </c>
      <c r="CP110" s="283"/>
      <c r="CQ110" s="256">
        <f>SCRF*(SCRL1+SCRL2)/4+(SCRMG-SCRF/2)*(SCRL1+SCRL2)/3</f>
        <v>56.608983333333342</v>
      </c>
      <c r="CR110" s="256" t="str">
        <f>IF(CO110&lt;'Look Ups'!$AC$4,"Yes","No")</f>
        <v>Yes</v>
      </c>
      <c r="CS110" s="267">
        <f>IF(CR110="Yes",MIN(150,('Look Ups'!$AC$4-PSCR)/('Look Ups'!$AC$4-'Look Ups'!$AC$3)*100),0)</f>
        <v>38.699609882964978</v>
      </c>
      <c r="CT110" s="79"/>
      <c r="CU110" s="73"/>
      <c r="CV110" s="73"/>
      <c r="CW110" s="73"/>
      <c r="CX110" s="256" t="str">
        <f>IF(USCRF&gt;0,USCRMG/USCRF*100,"")</f>
        <v/>
      </c>
      <c r="CY110" s="293">
        <f>IF(PUSCR&lt;'Look Ups'!$AC$4,MIN(150,('Look Ups'!$AC$4-PUSCR)/('Look Ups'!$AC$4-'Look Ups'!$AC$3)*100),0)</f>
        <v>0</v>
      </c>
      <c r="CZ110" s="275">
        <f>IF(PUSCR&lt;'Look Ups'!$AC$4,USCRF*(USCRL1+USCRL2)/4+(USCRMG-USCRF/2)*(USCRL1+USCRL2)/3,0)</f>
        <v>0</v>
      </c>
      <c r="DA110" s="294">
        <f>IF(ZVAL=1,1,IF(LPM&gt;0,0.64*((AM+MAM)/(E+(MC/2))^2)^0.3,0))</f>
        <v>1</v>
      </c>
      <c r="DB110" s="256">
        <f>0.65*((AM+MAM)*EFM)+0.35*((AM+MAM)*ZVAL)</f>
        <v>62.156599999999997</v>
      </c>
      <c r="DC110" s="256">
        <f>IF(ZVAL=1,1,IF(LPG&gt;0,0.72*(AG/(LPG^2))^0.3,0))</f>
        <v>1</v>
      </c>
      <c r="DD110" s="256">
        <f>AG*EFG</f>
        <v>28.163801999999997</v>
      </c>
      <c r="DE110" s="256">
        <f>IF(AZ110&gt;0,'Look Ups'!$S$3,0)</f>
        <v>1</v>
      </c>
      <c r="DF110" s="256">
        <f>IF(LPS&gt;0,0.72*(AS/(LPS^2))^0.3,0)</f>
        <v>0</v>
      </c>
      <c r="DG110" s="256">
        <f>EFS*AS</f>
        <v>0</v>
      </c>
      <c r="DH110" s="256">
        <f>IF(LPD&gt;0,0.72*(AD/(LPD^2))^0.3,0)</f>
        <v>0</v>
      </c>
      <c r="DI110" s="280">
        <f>IF((AD-AG)&gt;0,0.3*(AD-AG)*EFD,0)</f>
        <v>0</v>
      </c>
      <c r="DJ110" s="295" t="str">
        <f>IF((SCRF=0),"-",IF(AND(MSASC&gt;AG,SCRMG&lt;(0.75*SCRF)),"valid","ERROR"))</f>
        <v>valid</v>
      </c>
      <c r="DK110" s="266" t="str">
        <f>IF((SF=0),"-",IF((SMG&lt;(0.75*SF)),"ERROR",IF(AND(MSASP&gt;MSASC,MSASP&gt;AG,MSASP&gt;=0.36*RSAM),"valid","Small")))</f>
        <v>valid</v>
      </c>
      <c r="DL110" s="267" t="str">
        <f>IF(C110="","",CONCATENATE("MG",IF(FLSCR="valid","Scr",""),IF(FLSPI="valid","SP","")))</f>
        <v>MGScrSP</v>
      </c>
      <c r="DM110" s="294">
        <f>RSAM+RSAG</f>
        <v>90.320402000000001</v>
      </c>
      <c r="DN110" s="256">
        <f>IF(MSASP&gt;0,'Look Ups'!$AI$4*(ZVAL*MSASP-RSAG),0)</f>
        <v>34.484684399999999</v>
      </c>
      <c r="DO110" s="256">
        <f>IF(AND(MSASC&gt;0,(MSASC&gt;=0.36*RSAM)),('Look Ups'!$AI$3*(ZVAL*MSASC-RSAG)),(0))</f>
        <v>9.9558134666666707</v>
      </c>
      <c r="DP110" s="256">
        <f>IF(MSASP&gt;0,'Look Ups'!$AI$5*(ZVAL*MSASP-RSAG),0)</f>
        <v>32.185705440000007</v>
      </c>
      <c r="DQ110" s="256">
        <f>IF(MSASC&gt;0,'Look Ups'!$AI$6*(MSASC-RSAG),0)</f>
        <v>1.9911626933333344</v>
      </c>
      <c r="DR110" s="280">
        <f>'Look Ups'!$AI$7*MAX(IF(MSAUSC&gt;0,EUSC/100*(MSAUSC-RSAG),0),IF(CR110="Yes",ELSC/100*(MSASC-RSAG),0))</f>
        <v>2.7520435516254951</v>
      </c>
      <c r="DS110" s="280">
        <f>0.36*RSAM</f>
        <v>22.376375999999997</v>
      </c>
      <c r="DT110" s="296">
        <f>_xlfn.IFS(SPC="MG",RAMG+DS110,SPC="MGScr",RAMG+RASCO,SPC="MGSp",RAMG+RASPO,SPC="MGScrSp",RAMG+RASPSC+RASCR)+RAUSC+RSAST+RSAD+RSAMZ+RSA2M</f>
        <v>127.24931368495884</v>
      </c>
      <c r="DU110" s="63"/>
    </row>
    <row r="111" spans="1:125" ht="15.6" customHeight="1" x14ac:dyDescent="0.3">
      <c r="A111" s="4"/>
      <c r="B111" s="64"/>
      <c r="C111" s="233" t="s">
        <v>458</v>
      </c>
      <c r="D111" s="118" t="s">
        <v>459</v>
      </c>
      <c r="E111" s="86" t="s">
        <v>460</v>
      </c>
      <c r="F111" s="252">
        <f ca="1">IF(RW=0,0,ROUND(DLF*0.93*RL^LF*RSA^0.4/RW^0.325,3))</f>
        <v>1.1000000000000001</v>
      </c>
      <c r="G111" s="252" t="str">
        <f ca="1">IF(OR(FLSCR="ERROR",FLSPI="ERROR"),"No",IF(TODAY()-'Look Ups'!$D$4*365&gt;I111,"WP Applied","Yes"))</f>
        <v>Yes</v>
      </c>
      <c r="H111" s="253" t="str">
        <f>IF(SPC="","",CONCATENATE("Main-Genoa",IF(FLSCR="valid",IF(OR(CR111="Yes",MSAUSC&gt;0),"-Screacher (Upwind)","-Screacher"),""),IF(FLSPI="valid","-Spinnaker",""),IF(RSAMZ&gt;0,"-Mizzen",""),IF(RSA2M&gt;0,"-Second Main",""),IF(AS&gt;0,"-Staysail",""),IF(AD&gt;0,"-Drifter","")))</f>
        <v>Main-Genoa-Spinnaker</v>
      </c>
      <c r="I111" s="1">
        <v>43742</v>
      </c>
      <c r="J111" s="1">
        <v>45018</v>
      </c>
      <c r="K111" s="87" t="s">
        <v>182</v>
      </c>
      <c r="L111" s="87" t="s">
        <v>176</v>
      </c>
      <c r="M111" s="207"/>
      <c r="N111" s="88" t="s">
        <v>165</v>
      </c>
      <c r="O111" s="88"/>
      <c r="P111" s="100"/>
      <c r="Q111" s="90">
        <v>17.149999999999999</v>
      </c>
      <c r="R111" s="87"/>
      <c r="S111" s="256">
        <f>IF((LOAA&gt;LOA),0.025*LOAA,0.025*LOA)</f>
        <v>0.42874999999999996</v>
      </c>
      <c r="T111" s="91"/>
      <c r="U111" s="91">
        <v>0</v>
      </c>
      <c r="V111" s="258">
        <f>IF((_xlfn.SINGLE(LOAA)&gt;_xlfn.SINGLE(LOA)),_xlfn.SINGLE(LOAA),_xlfn.SINGLE(LOA)-_xlfn.SINGLE(FOC)-_xlfn.SINGLE(AOC))</f>
        <v>17.149999999999999</v>
      </c>
      <c r="W111" s="259">
        <f>IF(RL&gt;0,IF(RL&gt;'Look Ups'!Y$7,'Look Ups'!Y$8,('Look Ups'!Y$3*RL^3+'Look Ups'!Y$4*RL^2+'Look Ups'!Y$5*RL+'Look Ups'!Y$6)),0)</f>
        <v>0.3</v>
      </c>
      <c r="X111" s="92">
        <v>6100</v>
      </c>
      <c r="Y111" s="262">
        <f ca="1">IF(WDATE&lt;(TODAY()-'Look Ups'!$D$4*365),-WM*'Look Ups'!$D$5/100,0)</f>
        <v>0</v>
      </c>
      <c r="Z111" s="93"/>
      <c r="AA111" s="225"/>
      <c r="AB111" s="231"/>
      <c r="AC111" s="270">
        <f>WCD+NC*'Look Ups'!$AF$3</f>
        <v>0</v>
      </c>
      <c r="AD111" s="265">
        <f ca="1">IF(RL&lt;'Look Ups'!AM$3,'Look Ups'!AM$4,IF(RL&gt;'Look Ups'!AM$5,'Look Ups'!AM$6,(RL-'Look Ups'!AM$3)/('Look Ups'!AM$5-'Look Ups'!AM$3)*('Look Ups'!AM$6-'Look Ups'!AM$4)+'Look Ups'!AM$4))/100*WS</f>
        <v>610</v>
      </c>
      <c r="AE111" s="266">
        <f ca="1">WM+WP+WE</f>
        <v>6100</v>
      </c>
      <c r="AF111" s="267">
        <f ca="1">_xlfn.SINGLE(WS)+IF(_xlfn.SINGLE(TCW)&gt;=_xlfn.SINGLE(CWA),_xlfn.SINGLE(CWA),_xlfn.SINGLE(TCW))</f>
        <v>6100</v>
      </c>
      <c r="AG111" s="94" t="s">
        <v>145</v>
      </c>
      <c r="AH111" s="95" t="s">
        <v>146</v>
      </c>
      <c r="AI111" s="96" t="s">
        <v>147</v>
      </c>
      <c r="AJ111" s="218"/>
      <c r="AK111" s="273">
        <f>IF(C111="",0,VLOOKUP(AG111,'Look Ups'!$F$3:$G$6,2,0)*VLOOKUP(AH111,'Look Ups'!$I$3:$J$5,2,0)*VLOOKUP(AI111,'Look Ups'!$L$3:$M$7,2,0)*IF(AJ111="",1,VLOOKUP(AJ111,'Look Ups'!$O$3:$P$4,2,0)))</f>
        <v>1</v>
      </c>
      <c r="AL111" s="83">
        <v>21.25</v>
      </c>
      <c r="AM111" s="91">
        <v>22.55</v>
      </c>
      <c r="AN111" s="91">
        <v>6</v>
      </c>
      <c r="AO111" s="91">
        <v>2.59</v>
      </c>
      <c r="AP111" s="91">
        <v>1.38</v>
      </c>
      <c r="AQ111" s="91">
        <v>21.25</v>
      </c>
      <c r="AR111" s="91">
        <v>0.12</v>
      </c>
      <c r="AS111" s="91">
        <v>6.6</v>
      </c>
      <c r="AT111" s="91">
        <v>0.15</v>
      </c>
      <c r="AU111" s="91">
        <v>1.5</v>
      </c>
      <c r="AV111" s="91" t="s">
        <v>148</v>
      </c>
      <c r="AW111" s="97">
        <v>0</v>
      </c>
      <c r="AX111" s="256">
        <f>P+ER</f>
        <v>21.4</v>
      </c>
      <c r="AY111" s="256">
        <f>P*0.375*MC</f>
        <v>11.953125</v>
      </c>
      <c r="AZ111" s="275">
        <f>IF(C111="",0,(0.5*(_ML1*LPM)+0.5*(_ML1*HB)+0.66*(P*PR)+0.66*(_ML2*RDM)+0.66*(E*ER))*VLOOKUP(BATT,'Look Ups'!$U$3:$V$4,2,0))</f>
        <v>114.14369000000001</v>
      </c>
      <c r="BA111" s="98"/>
      <c r="BB111" s="99"/>
      <c r="BC111" s="83">
        <v>18.7</v>
      </c>
      <c r="BD111" s="91">
        <v>6.52</v>
      </c>
      <c r="BE111" s="91">
        <v>6.98</v>
      </c>
      <c r="BF111" s="91">
        <v>0.16</v>
      </c>
      <c r="BG111" s="91">
        <v>17.350000000000001</v>
      </c>
      <c r="BH111" s="91"/>
      <c r="BI111" s="91"/>
      <c r="BJ111" s="91">
        <v>-0.22</v>
      </c>
      <c r="BK111" s="91">
        <v>0</v>
      </c>
      <c r="BL111" s="97">
        <v>0</v>
      </c>
      <c r="BM111" s="275">
        <f>(0.5*LL*LPG)+(0.5*_LG1*HG)+(0.66*LL*LLRG)+(0.66*FG*FRG)+(IF((HG&gt;0),(0.66*_LG2*LRG),(0.66*_LG1*LRG)))</f>
        <v>59.179867999999999</v>
      </c>
      <c r="BN111" s="282"/>
      <c r="BO111" s="283"/>
      <c r="BP111" s="284"/>
      <c r="BQ111" s="284"/>
      <c r="BR111" s="283"/>
      <c r="BS111" s="284"/>
      <c r="BT111" s="284"/>
      <c r="BU111" s="280">
        <f>(0.5*LLS*LPS)+(0.66*LLS*LLRS)+(0.66*LS*LRS)+(0.66*FS*FRS)</f>
        <v>0</v>
      </c>
      <c r="BV111" s="285"/>
      <c r="BW111" s="283"/>
      <c r="BX111" s="283"/>
      <c r="BY111" s="283"/>
      <c r="BZ111" s="283"/>
      <c r="CA111" s="283"/>
      <c r="CB111" s="283"/>
      <c r="CC111" s="275">
        <f>(0.5*LLD*LPD)+(0.66*LLD*LLRD)+(0.66*LCHD*LRD)+(0.66*FD*FRD)</f>
        <v>0</v>
      </c>
      <c r="CD111" s="98">
        <v>11.35</v>
      </c>
      <c r="CE111" s="91">
        <v>20.45</v>
      </c>
      <c r="CF111" s="91">
        <v>16.45</v>
      </c>
      <c r="CG111" s="91">
        <v>9.9499999999999993</v>
      </c>
      <c r="CH111" s="266">
        <f>IF(SF&gt;0,SMG/SF*100,"")</f>
        <v>87.665198237885448</v>
      </c>
      <c r="CI111" s="283"/>
      <c r="CJ111" s="280">
        <f>SF*(_SL1+_SL2)/4+(SMG-SF/2)*(_SL1+_SL2)/3</f>
        <v>157.28625</v>
      </c>
      <c r="CK111" s="83"/>
      <c r="CL111" s="91"/>
      <c r="CM111" s="91"/>
      <c r="CN111" s="91"/>
      <c r="CO111" s="256" t="str">
        <f>IF(SCRF&gt;0,SCRMG/SCRF*100,"")</f>
        <v/>
      </c>
      <c r="CP111" s="283"/>
      <c r="CQ111" s="256">
        <f>SCRF*(SCRL1+SCRL2)/4+(SCRMG-SCRF/2)*(SCRL1+SCRL2)/3</f>
        <v>0</v>
      </c>
      <c r="CR111" s="256" t="str">
        <f>IF(CO111&lt;'Look Ups'!$AC$4,"Yes","No")</f>
        <v>No</v>
      </c>
      <c r="CS111" s="267">
        <f>IF(CR111="Yes",MIN(150,('Look Ups'!$AC$4-PSCR)/('Look Ups'!$AC$4-'Look Ups'!$AC$3)*100),0)</f>
        <v>0</v>
      </c>
      <c r="CT111" s="83"/>
      <c r="CU111" s="91"/>
      <c r="CV111" s="91"/>
      <c r="CW111" s="91"/>
      <c r="CX111" s="256" t="str">
        <f>IF(USCRF&gt;0,USCRMG/USCRF*100,"")</f>
        <v/>
      </c>
      <c r="CY111" s="293">
        <f>IF(PUSCR&lt;'Look Ups'!$AC$4,MIN(150,('Look Ups'!$AC$4-PUSCR)/('Look Ups'!$AC$4-'Look Ups'!$AC$3)*100),0)</f>
        <v>0</v>
      </c>
      <c r="CZ111" s="275">
        <f>IF(PUSCR&lt;'Look Ups'!$AC$4,USCRF*(USCRL1+USCRL2)/4+(USCRMG-USCRF/2)*(USCRL1+USCRL2)/3,0)</f>
        <v>0</v>
      </c>
      <c r="DA111" s="294">
        <f>IF(ZVAL=1,1,IF(LPM&gt;0,0.64*((AM+MAM)/(E+(MC/2))^2)^0.3,0))</f>
        <v>1</v>
      </c>
      <c r="DB111" s="256">
        <f>0.65*((AM+MAM)*EFM)+0.35*((AM+MAM)*ZVAL)</f>
        <v>126.09681499999999</v>
      </c>
      <c r="DC111" s="256">
        <f>IF(ZVAL=1,1,IF(LPG&gt;0,0.72*(AG/(LPG^2))^0.3,0))</f>
        <v>1</v>
      </c>
      <c r="DD111" s="256">
        <f>AG*EFG</f>
        <v>59.179867999999999</v>
      </c>
      <c r="DE111" s="256">
        <f>IF(AZ111&gt;0,'Look Ups'!$S$3,0)</f>
        <v>1</v>
      </c>
      <c r="DF111" s="256">
        <f>IF(LPS&gt;0,0.72*(AS/(LPS^2))^0.3,0)</f>
        <v>0</v>
      </c>
      <c r="DG111" s="256">
        <f>EFS*AS</f>
        <v>0</v>
      </c>
      <c r="DH111" s="256">
        <f>IF(LPD&gt;0,0.72*(AD/(LPD^2))^0.3,0)</f>
        <v>0</v>
      </c>
      <c r="DI111" s="280">
        <f>IF((AD-AG)&gt;0,0.3*(AD-AG)*EFD,0)</f>
        <v>0</v>
      </c>
      <c r="DJ111" s="295" t="str">
        <f>IF((SCRF=0),"-",IF(AND(MSASC&gt;AG,SCRMG&lt;(0.75*SCRF)),"valid","ERROR"))</f>
        <v>-</v>
      </c>
      <c r="DK111" s="266" t="str">
        <f>IF((SF=0),"-",IF((SMG&lt;(0.75*SF)),"ERROR",IF(AND(MSASP&gt;MSASC,MSASP&gt;AG,MSASP&gt;=0.36*RSAM),"valid","Small")))</f>
        <v>valid</v>
      </c>
      <c r="DL111" s="267" t="str">
        <f>IF(C111="","",CONCATENATE("MG",IF(FLSCR="valid","Scr",""),IF(FLSPI="valid","SP","")))</f>
        <v>MGSP</v>
      </c>
      <c r="DM111" s="294">
        <f>RSAM+RSAG</f>
        <v>185.27668299999999</v>
      </c>
      <c r="DN111" s="256">
        <f>IF(MSASP&gt;0,'Look Ups'!$AI$4*(ZVAL*MSASP-RSAG),0)</f>
        <v>29.431914599999999</v>
      </c>
      <c r="DO111" s="256">
        <f>IF(AND(MSASC&gt;0,(MSASC&gt;=0.36*RSAM)),('Look Ups'!$AI$3*(ZVAL*MSASC-RSAG)),(0))</f>
        <v>0</v>
      </c>
      <c r="DP111" s="256">
        <f>IF(MSASP&gt;0,'Look Ups'!$AI$5*(ZVAL*MSASP-RSAG),0)</f>
        <v>27.46978696</v>
      </c>
      <c r="DQ111" s="256">
        <f>IF(MSASC&gt;0,'Look Ups'!$AI$6*(MSASC-RSAG),0)</f>
        <v>0</v>
      </c>
      <c r="DR111" s="280">
        <f>'Look Ups'!$AI$7*MAX(IF(MSAUSC&gt;0,EUSC/100*(MSAUSC-RSAG),0),IF(CR111="Yes",ELSC/100*(MSASC-RSAG),0))</f>
        <v>0</v>
      </c>
      <c r="DS111" s="280">
        <f>0.36*RSAM</f>
        <v>45.394853399999995</v>
      </c>
      <c r="DT111" s="296">
        <f>_xlfn.IFS(SPC="MG",RAMG+DS111,SPC="MGScr",RAMG+RASCO,SPC="MGSp",RAMG+RASPO,SPC="MGScrSp",RAMG+RASPSC+RASCR)+RAUSC+RSAST+RSAD+RSAMZ+RSA2M</f>
        <v>214.70859759999999</v>
      </c>
      <c r="DU111" s="63"/>
    </row>
    <row r="112" spans="1:125" ht="15.6" customHeight="1" x14ac:dyDescent="0.3">
      <c r="A112" s="4"/>
      <c r="B112" s="64"/>
      <c r="C112" s="64" t="s">
        <v>461</v>
      </c>
      <c r="D112" s="118" t="s">
        <v>462</v>
      </c>
      <c r="E112" s="86" t="s">
        <v>463</v>
      </c>
      <c r="F112" s="252">
        <f ca="1">IF(RW=0,0,ROUND(DLF*0.93*RL^LF*RSA^0.4/RW^0.325,3))</f>
        <v>0.89100000000000001</v>
      </c>
      <c r="G112" s="252" t="str">
        <f ca="1">IF(OR(FLSCR="ERROR",FLSPI="ERROR"),"No",IF(TODAY()-'Look Ups'!$D$4*365&gt;I112,"WP Applied","Yes"))</f>
        <v>WP Applied</v>
      </c>
      <c r="H112" s="253" t="str">
        <f>IF(SPC="","",CONCATENATE("Main-Genoa",IF(FLSCR="valid",IF(OR(CR112="Yes",MSAUSC&gt;0),"-Screacher (Upwind)","-Screacher"),""),IF(FLSPI="valid","-Spinnaker",""),IF(RSAMZ&gt;0,"-Mizzen",""),IF(RSA2M&gt;0,"-Second Main",""),IF(AS&gt;0,"-Staysail",""),IF(AD&gt;0,"-Drifter","")))</f>
        <v>Main-Genoa-Screacher-Spinnaker</v>
      </c>
      <c r="I112" s="1">
        <v>40799</v>
      </c>
      <c r="J112" s="1">
        <v>44508</v>
      </c>
      <c r="K112" s="87" t="s">
        <v>182</v>
      </c>
      <c r="L112" s="87" t="s">
        <v>176</v>
      </c>
      <c r="M112" s="207"/>
      <c r="N112" s="88" t="s">
        <v>165</v>
      </c>
      <c r="O112" s="88"/>
      <c r="P112" s="100"/>
      <c r="Q112" s="90">
        <v>11</v>
      </c>
      <c r="R112" s="87"/>
      <c r="S112" s="256">
        <f>IF((LOAA&gt;LOA),0.025*LOAA,0.025*LOA)</f>
        <v>0.27500000000000002</v>
      </c>
      <c r="T112" s="91">
        <v>0.72</v>
      </c>
      <c r="U112" s="91">
        <v>0</v>
      </c>
      <c r="V112" s="258">
        <f>IF((_xlfn.SINGLE(LOAA)&gt;_xlfn.SINGLE(LOA)),_xlfn.SINGLE(LOAA),_xlfn.SINGLE(LOA)-_xlfn.SINGLE(FOC)-_xlfn.SINGLE(AOC))</f>
        <v>10.28</v>
      </c>
      <c r="W112" s="259">
        <f>IF(RL&gt;0,IF(RL&gt;'Look Ups'!Y$7,'Look Ups'!Y$8,('Look Ups'!Y$3*RL^3+'Look Ups'!Y$4*RL^2+'Look Ups'!Y$5*RL+'Look Ups'!Y$6)),0)</f>
        <v>0.29886058041600005</v>
      </c>
      <c r="X112" s="92">
        <v>2975</v>
      </c>
      <c r="Y112" s="262">
        <f ca="1">IF(WDATE&lt;(TODAY()-'Look Ups'!$D$4*365),-WM*'Look Ups'!$D$5/100,0)</f>
        <v>-446.25</v>
      </c>
      <c r="Z112" s="87"/>
      <c r="AA112" s="93"/>
      <c r="AB112" s="75"/>
      <c r="AC112" s="270">
        <f>WCD+NC*'Look Ups'!$AF$3</f>
        <v>0</v>
      </c>
      <c r="AD112" s="265">
        <f ca="1">IF(RL&lt;'Look Ups'!AM$3,'Look Ups'!AM$4,IF(RL&gt;'Look Ups'!AM$5,'Look Ups'!AM$6,(RL-'Look Ups'!AM$3)/('Look Ups'!AM$5-'Look Ups'!AM$3)*('Look Ups'!AM$6-'Look Ups'!AM$4)+'Look Ups'!AM$4))/100*WS</f>
        <v>429.42772727272734</v>
      </c>
      <c r="AE112" s="266">
        <f ca="1">WM+WP+WE</f>
        <v>2528.75</v>
      </c>
      <c r="AF112" s="267">
        <f ca="1">_xlfn.SINGLE(WS)+IF(_xlfn.SINGLE(TCW)&gt;=_xlfn.SINGLE(CWA),_xlfn.SINGLE(CWA),_xlfn.SINGLE(TCW))</f>
        <v>2528.75</v>
      </c>
      <c r="AG112" s="94" t="s">
        <v>145</v>
      </c>
      <c r="AH112" s="95" t="s">
        <v>146</v>
      </c>
      <c r="AI112" s="96" t="s">
        <v>147</v>
      </c>
      <c r="AJ112" s="218"/>
      <c r="AK112" s="273">
        <f>IF(C112="",0,VLOOKUP(AG112,'Look Ups'!$F$3:$G$6,2,0)*VLOOKUP(AH112,'Look Ups'!$I$3:$J$5,2,0)*VLOOKUP(AI112,'Look Ups'!$L$3:$M$7,2,0)*IF(AJ112="",1,VLOOKUP(AJ112,'Look Ups'!$O$3:$P$4,2,0)))</f>
        <v>1</v>
      </c>
      <c r="AL112" s="83">
        <v>13.2</v>
      </c>
      <c r="AM112" s="91">
        <v>12.89</v>
      </c>
      <c r="AN112" s="91">
        <v>3.87</v>
      </c>
      <c r="AO112" s="91">
        <v>1.5</v>
      </c>
      <c r="AP112" s="91">
        <v>0.72</v>
      </c>
      <c r="AQ112" s="91">
        <v>12.57</v>
      </c>
      <c r="AR112" s="91">
        <v>0.13</v>
      </c>
      <c r="AS112" s="91">
        <v>4.09</v>
      </c>
      <c r="AT112" s="91">
        <v>0.11</v>
      </c>
      <c r="AU112" s="91">
        <v>0.54</v>
      </c>
      <c r="AV112" s="91" t="s">
        <v>148</v>
      </c>
      <c r="AW112" s="97">
        <v>0</v>
      </c>
      <c r="AX112" s="256">
        <f>P+ER</f>
        <v>12.68</v>
      </c>
      <c r="AY112" s="256">
        <f>P*0.375*MC</f>
        <v>2.5454250000000003</v>
      </c>
      <c r="AZ112" s="275">
        <f>IF(C112="",0,(0.5*(_ML1*LPM)+0.5*(_ML1*HB)+0.66*(P*PR)+0.66*(_ML2*RDM)+0.66*(E*ER))*VLOOKUP(BATT,'Look Ups'!$U$3:$V$4,2,0))</f>
        <v>42.942767999999994</v>
      </c>
      <c r="BA112" s="98"/>
      <c r="BB112" s="99"/>
      <c r="BC112" s="83">
        <v>11.66</v>
      </c>
      <c r="BD112" s="91">
        <v>4.67</v>
      </c>
      <c r="BE112" s="91">
        <v>5.09</v>
      </c>
      <c r="BF112" s="91">
        <v>0.08</v>
      </c>
      <c r="BG112" s="91">
        <v>10.67</v>
      </c>
      <c r="BH112" s="91"/>
      <c r="BI112" s="91"/>
      <c r="BJ112" s="91">
        <v>-0.16</v>
      </c>
      <c r="BK112" s="91">
        <v>0</v>
      </c>
      <c r="BL112" s="97">
        <v>0</v>
      </c>
      <c r="BM112" s="275">
        <f>(0.5*LL*LPG)+(0.5*_LG1*HG)+(0.66*LL*LLRG)+(0.66*FG*FRG)+(IF((HG&gt;0),(0.66*_LG2*LRG),(0.66*_LG1*LRG)))</f>
        <v>26.368099999999998</v>
      </c>
      <c r="BN112" s="282"/>
      <c r="BO112" s="283"/>
      <c r="BP112" s="284"/>
      <c r="BQ112" s="284"/>
      <c r="BR112" s="283"/>
      <c r="BS112" s="284"/>
      <c r="BT112" s="284"/>
      <c r="BU112" s="280">
        <f>(0.5*LLS*LPS)+(0.66*LLS*LLRS)+(0.66*LS*LRS)+(0.66*FS*FRS)</f>
        <v>0</v>
      </c>
      <c r="BV112" s="285"/>
      <c r="BW112" s="283"/>
      <c r="BX112" s="283"/>
      <c r="BY112" s="283"/>
      <c r="BZ112" s="283"/>
      <c r="CA112" s="283"/>
      <c r="CB112" s="283"/>
      <c r="CC112" s="275">
        <f>(0.5*LLD*LPD)+(0.66*LLD*LLRD)+(0.66*LCHD*LRD)+(0.66*FD*FRD)</f>
        <v>0</v>
      </c>
      <c r="CD112" s="98">
        <v>8.09</v>
      </c>
      <c r="CE112" s="91">
        <v>15.33</v>
      </c>
      <c r="CF112" s="91">
        <v>12.49</v>
      </c>
      <c r="CG112" s="91">
        <v>7.76</v>
      </c>
      <c r="CH112" s="266">
        <f>IF(SF&gt;0,SMG/SF*100,"")</f>
        <v>95.920889987639057</v>
      </c>
      <c r="CI112" s="283"/>
      <c r="CJ112" s="280">
        <f>SF*(_SL1+_SL2)/4+(SMG-SF/2)*(_SL1+_SL2)/3</f>
        <v>90.716383333333326</v>
      </c>
      <c r="CK112" s="83">
        <v>8.02</v>
      </c>
      <c r="CL112" s="91">
        <v>13.72</v>
      </c>
      <c r="CM112" s="91">
        <v>10.9</v>
      </c>
      <c r="CN112" s="91">
        <v>4.21</v>
      </c>
      <c r="CO112" s="256">
        <f>IF(SCRF&gt;0,SCRMG/SCRF*100,"")</f>
        <v>52.493765586034911</v>
      </c>
      <c r="CP112" s="283"/>
      <c r="CQ112" s="256">
        <f>SCRF*(SCRL1+SCRL2)/4+(SCRMG-SCRF/2)*(SCRL1+SCRL2)/3</f>
        <v>51.004433333333338</v>
      </c>
      <c r="CR112" s="256" t="str">
        <f>IF(CO112&lt;'Look Ups'!$AC$4,"Yes","No")</f>
        <v>No</v>
      </c>
      <c r="CS112" s="267">
        <f>IF(CR112="Yes",MIN(150,('Look Ups'!$AC$4-PSCR)/('Look Ups'!$AC$4-'Look Ups'!$AC$3)*100),0)</f>
        <v>0</v>
      </c>
      <c r="CT112" s="83"/>
      <c r="CU112" s="91"/>
      <c r="CV112" s="91"/>
      <c r="CW112" s="91"/>
      <c r="CX112" s="256" t="str">
        <f>IF(USCRF&gt;0,USCRMG/USCRF*100,"")</f>
        <v/>
      </c>
      <c r="CY112" s="293">
        <f>IF(PUSCR&lt;'Look Ups'!$AC$4,MIN(150,('Look Ups'!$AC$4-PUSCR)/('Look Ups'!$AC$4-'Look Ups'!$AC$3)*100),0)</f>
        <v>0</v>
      </c>
      <c r="CZ112" s="275">
        <f>IF(PUSCR&lt;'Look Ups'!$AC$4,USCRF*(USCRL1+USCRL2)/4+(USCRMG-USCRF/2)*(USCRL1+USCRL2)/3,0)</f>
        <v>0</v>
      </c>
      <c r="DA112" s="294">
        <f>IF(ZVAL=1,1,IF(LPM&gt;0,0.64*((AM+MAM)/(E+(MC/2))^2)^0.3,0))</f>
        <v>1</v>
      </c>
      <c r="DB112" s="256">
        <f>0.65*((AM+MAM)*EFM)+0.35*((AM+MAM)*ZVAL)</f>
        <v>45.488192999999995</v>
      </c>
      <c r="DC112" s="256">
        <f>IF(ZVAL=1,1,IF(LPG&gt;0,0.72*(AG/(LPG^2))^0.3,0))</f>
        <v>1</v>
      </c>
      <c r="DD112" s="256">
        <f>AG*EFG</f>
        <v>26.368099999999998</v>
      </c>
      <c r="DE112" s="256">
        <f>IF(AZ112&gt;0,'Look Ups'!$S$3,0)</f>
        <v>1</v>
      </c>
      <c r="DF112" s="256">
        <f>IF(LPS&gt;0,0.72*(AS/(LPS^2))^0.3,0)</f>
        <v>0</v>
      </c>
      <c r="DG112" s="256">
        <f>EFS*AS</f>
        <v>0</v>
      </c>
      <c r="DH112" s="256">
        <f>IF(LPD&gt;0,0.72*(AD/(LPD^2))^0.3,0)</f>
        <v>0</v>
      </c>
      <c r="DI112" s="280">
        <f>IF((AD-AG)&gt;0,0.3*(AD-AG)*EFD,0)</f>
        <v>0</v>
      </c>
      <c r="DJ112" s="295" t="str">
        <f>IF((SCRF=0),"-",IF(AND(MSASC&gt;AG,SCRMG&lt;(0.75*SCRF)),"valid","ERROR"))</f>
        <v>valid</v>
      </c>
      <c r="DK112" s="266" t="str">
        <f>IF((SF=0),"-",IF((SMG&lt;(0.75*SF)),"ERROR",IF(AND(MSASP&gt;MSASC,MSASP&gt;AG,MSASP&gt;=0.36*RSAM),"valid","Small")))</f>
        <v>valid</v>
      </c>
      <c r="DL112" s="267" t="str">
        <f>IF(C112="","",CONCATENATE("MG",IF(FLSCR="valid","Scr",""),IF(FLSPI="valid","SP","")))</f>
        <v>MGScrSP</v>
      </c>
      <c r="DM112" s="294">
        <f>RSAM+RSAG</f>
        <v>71.856292999999994</v>
      </c>
      <c r="DN112" s="256">
        <f>IF(MSASP&gt;0,'Look Ups'!$AI$4*(ZVAL*MSASP-RSAG),0)</f>
        <v>19.304484999999996</v>
      </c>
      <c r="DO112" s="256">
        <f>IF(AND(MSASC&gt;0,(MSASC&gt;=0.36*RSAM)),('Look Ups'!$AI$3*(ZVAL*MSASC-RSAG)),(0))</f>
        <v>8.622716666666669</v>
      </c>
      <c r="DP112" s="256">
        <f>IF(MSASP&gt;0,'Look Ups'!$AI$5*(ZVAL*MSASP-RSAG),0)</f>
        <v>18.017519333333333</v>
      </c>
      <c r="DQ112" s="256">
        <f>IF(MSASC&gt;0,'Look Ups'!$AI$6*(MSASC-RSAG),0)</f>
        <v>1.724543333333334</v>
      </c>
      <c r="DR112" s="280">
        <f>'Look Ups'!$AI$7*MAX(IF(MSAUSC&gt;0,EUSC/100*(MSAUSC-RSAG),0),IF(CR112="Yes",ELSC/100*(MSASC-RSAG),0))</f>
        <v>0</v>
      </c>
      <c r="DS112" s="280">
        <f>0.36*RSAM</f>
        <v>16.375749479999996</v>
      </c>
      <c r="DT112" s="296">
        <f>_xlfn.IFS(SPC="MG",RAMG+DS112,SPC="MGScr",RAMG+RASCO,SPC="MGSp",RAMG+RASPO,SPC="MGScrSp",RAMG+RASPSC+RASCR)+RAUSC+RSAST+RSAD+RSAMZ+RSA2M</f>
        <v>91.598355666666649</v>
      </c>
      <c r="DU112" s="63"/>
    </row>
    <row r="113" spans="1:125" ht="15.6" customHeight="1" x14ac:dyDescent="0.3">
      <c r="A113" s="4"/>
      <c r="B113" s="64"/>
      <c r="C113" s="64" t="s">
        <v>464</v>
      </c>
      <c r="D113" s="101" t="s">
        <v>465</v>
      </c>
      <c r="E113" s="86" t="s">
        <v>466</v>
      </c>
      <c r="F113" s="252">
        <f ca="1">IF(RW=0,0,ROUND(DLF*0.93*RL^LF*RSA^0.4/RW^0.325,3))</f>
        <v>0.98899999999999999</v>
      </c>
      <c r="G113" s="252" t="str">
        <f ca="1">IF(OR(FLSCR="ERROR",FLSPI="ERROR"),"No",IF(TODAY()-'Look Ups'!$D$4*365&gt;I113,"WP Applied","Yes"))</f>
        <v>Yes</v>
      </c>
      <c r="H113" s="253" t="str">
        <f>IF(SPC="","",CONCATENATE("Main-Genoa",IF(FLSCR="valid",IF(OR(CR113="Yes",MSAUSC&gt;0),"-Screacher (Upwind)","-Screacher"),""),IF(FLSPI="valid","-Spinnaker",""),IF(RSAMZ&gt;0,"-Mizzen",""),IF(RSA2M&gt;0,"-Second Main",""),IF(AS&gt;0,"-Staysail",""),IF(AD&gt;0,"-Drifter","")))</f>
        <v>Main-Genoa-Screacher-Spinnaker</v>
      </c>
      <c r="I113" s="1">
        <v>43319</v>
      </c>
      <c r="J113" s="1">
        <v>43319</v>
      </c>
      <c r="K113" s="87" t="s">
        <v>153</v>
      </c>
      <c r="L113" s="87" t="s">
        <v>142</v>
      </c>
      <c r="M113" s="207"/>
      <c r="N113" s="88" t="s">
        <v>143</v>
      </c>
      <c r="O113" s="88"/>
      <c r="P113" s="102"/>
      <c r="Q113" s="90">
        <v>18.11</v>
      </c>
      <c r="R113" s="87"/>
      <c r="S113" s="256">
        <f>IF((LOAA&gt;LOA),0.025*LOAA,0.025*LOA)</f>
        <v>0.45274999999999999</v>
      </c>
      <c r="T113" s="91"/>
      <c r="U113" s="91">
        <v>0</v>
      </c>
      <c r="V113" s="258">
        <f>IF((_xlfn.SINGLE(LOAA)&gt;_xlfn.SINGLE(LOA)),_xlfn.SINGLE(LOAA),_xlfn.SINGLE(LOA)-_xlfn.SINGLE(FOC)-_xlfn.SINGLE(AOC))</f>
        <v>18.11</v>
      </c>
      <c r="W113" s="259">
        <f>IF(RL&gt;0,IF(RL&gt;'Look Ups'!Y$7,'Look Ups'!Y$8,('Look Ups'!Y$3*RL^3+'Look Ups'!Y$4*RL^2+'Look Ups'!Y$5*RL+'Look Ups'!Y$6)),0)</f>
        <v>0.3</v>
      </c>
      <c r="X113" s="92">
        <v>10087</v>
      </c>
      <c r="Y113" s="262">
        <f ca="1">IF(WDATE&lt;(TODAY()-'Look Ups'!$D$4*365),-WM*'Look Ups'!$D$5/100,0)</f>
        <v>0</v>
      </c>
      <c r="Z113" s="93"/>
      <c r="AA113" s="225"/>
      <c r="AB113" s="226"/>
      <c r="AC113" s="270">
        <f>WCD+NC*'Look Ups'!$AF$3</f>
        <v>0</v>
      </c>
      <c r="AD113" s="265">
        <f ca="1">IF(RL&lt;'Look Ups'!AM$3,'Look Ups'!AM$4,IF(RL&gt;'Look Ups'!AM$5,'Look Ups'!AM$6,(RL-'Look Ups'!AM$3)/('Look Ups'!AM$5-'Look Ups'!AM$3)*('Look Ups'!AM$6-'Look Ups'!AM$4)+'Look Ups'!AM$4))/100*WS</f>
        <v>1008.7</v>
      </c>
      <c r="AE113" s="266">
        <f ca="1">WM+WP+WE</f>
        <v>10087</v>
      </c>
      <c r="AF113" s="267">
        <f ca="1">_xlfn.SINGLE(WS)+IF(_xlfn.SINGLE(TCW)&gt;=_xlfn.SINGLE(CWA),_xlfn.SINGLE(CWA),_xlfn.SINGLE(TCW))</f>
        <v>10087</v>
      </c>
      <c r="AG113" s="94" t="s">
        <v>145</v>
      </c>
      <c r="AH113" s="95" t="s">
        <v>146</v>
      </c>
      <c r="AI113" s="96" t="s">
        <v>187</v>
      </c>
      <c r="AJ113" s="218"/>
      <c r="AK113" s="273">
        <f>IF(C113="",0,VLOOKUP(AG113,'Look Ups'!$F$3:$G$6,2,0)*VLOOKUP(AH113,'Look Ups'!$I$3:$J$5,2,0)*VLOOKUP(AI113,'Look Ups'!$L$3:$M$7,2,0)*IF(AJ113="",1,VLOOKUP(AJ113,'Look Ups'!$O$3:$P$4,2,0)))</f>
        <v>0.995</v>
      </c>
      <c r="AL113" s="83">
        <v>22.58</v>
      </c>
      <c r="AM113" s="91">
        <v>21.9</v>
      </c>
      <c r="AN113" s="91">
        <v>7.25</v>
      </c>
      <c r="AO113" s="91">
        <v>2.02</v>
      </c>
      <c r="AP113" s="91">
        <v>0.62</v>
      </c>
      <c r="AQ113" s="91">
        <v>22.26</v>
      </c>
      <c r="AR113" s="91">
        <v>0.18</v>
      </c>
      <c r="AS113" s="91">
        <v>7.44</v>
      </c>
      <c r="AT113" s="91">
        <v>0.08</v>
      </c>
      <c r="AU113" s="91">
        <v>1.2</v>
      </c>
      <c r="AV113" s="91" t="s">
        <v>148</v>
      </c>
      <c r="AW113" s="97">
        <v>0</v>
      </c>
      <c r="AX113" s="256">
        <f>P+ER</f>
        <v>22.34</v>
      </c>
      <c r="AY113" s="256">
        <f>P*0.375*MC</f>
        <v>10.016999999999999</v>
      </c>
      <c r="AZ113" s="275">
        <f>IF(C113="",0,(0.5*(_ML1*LPM)+0.5*(_ML1*HB)+0.66*(P*PR)+0.66*(_ML2*RDM)+0.66*(E*ER))*VLOOKUP(BATT,'Look Ups'!$U$3:$V$4,2,0))</f>
        <v>116.65709999999999</v>
      </c>
      <c r="BA113" s="98"/>
      <c r="BB113" s="99"/>
      <c r="BC113" s="83">
        <v>21.87</v>
      </c>
      <c r="BD113" s="91">
        <v>6.36</v>
      </c>
      <c r="BE113" s="91">
        <v>7</v>
      </c>
      <c r="BF113" s="91">
        <v>0.22</v>
      </c>
      <c r="BG113" s="91">
        <v>19.760000000000002</v>
      </c>
      <c r="BH113" s="91"/>
      <c r="BI113" s="91"/>
      <c r="BJ113" s="91"/>
      <c r="BK113" s="91"/>
      <c r="BL113" s="97">
        <v>0</v>
      </c>
      <c r="BM113" s="275">
        <f>(0.5*LL*LPG)+(0.5*_LG1*HG)+(0.66*LL*LLRG)+(0.66*FG*FRG)+(IF((HG&gt;0),(0.66*_LG2*LRG),(0.66*_LG1*LRG)))</f>
        <v>70.563000000000017</v>
      </c>
      <c r="BN113" s="282"/>
      <c r="BO113" s="283"/>
      <c r="BP113" s="284"/>
      <c r="BQ113" s="284"/>
      <c r="BR113" s="283"/>
      <c r="BS113" s="284"/>
      <c r="BT113" s="284"/>
      <c r="BU113" s="280">
        <f>(0.5*LLS*LPS)+(0.66*LLS*LLRS)+(0.66*LS*LRS)+(0.66*FS*FRS)</f>
        <v>0</v>
      </c>
      <c r="BV113" s="285"/>
      <c r="BW113" s="283"/>
      <c r="BX113" s="283"/>
      <c r="BY113" s="283"/>
      <c r="BZ113" s="283"/>
      <c r="CA113" s="283"/>
      <c r="CB113" s="283"/>
      <c r="CC113" s="275">
        <f>(0.5*LLD*LPD)+(0.66*LLD*LLRD)+(0.66*LCHD*LRD)+(0.66*FD*FRD)</f>
        <v>0</v>
      </c>
      <c r="CD113" s="98">
        <v>12.27</v>
      </c>
      <c r="CE113" s="91">
        <v>25.2</v>
      </c>
      <c r="CF113" s="91">
        <v>23.69</v>
      </c>
      <c r="CG113" s="91">
        <v>9.83</v>
      </c>
      <c r="CH113" s="266">
        <f>IF(SF&gt;0,SMG/SF*100,"")</f>
        <v>80.114099429502858</v>
      </c>
      <c r="CI113" s="286"/>
      <c r="CJ113" s="280">
        <f>SF*(_SL1+_SL2)/4+(SMG-SF/2)*(_SL1+_SL2)/3</f>
        <v>210.18625833333334</v>
      </c>
      <c r="CK113" s="83">
        <v>11.62</v>
      </c>
      <c r="CL113" s="91">
        <v>23.99</v>
      </c>
      <c r="CM113" s="91">
        <v>21.49</v>
      </c>
      <c r="CN113" s="91">
        <v>6.1</v>
      </c>
      <c r="CO113" s="256">
        <f>IF(SCRF&gt;0,SCRMG/SCRF*100,"")</f>
        <v>52.49569707401033</v>
      </c>
      <c r="CP113" s="286"/>
      <c r="CQ113" s="256">
        <f>SCRF*(SCRL1+SCRL2)/4+(SCRMG-SCRF/2)*(SCRL1+SCRL2)/3</f>
        <v>136.51579999999998</v>
      </c>
      <c r="CR113" s="256" t="str">
        <f>IF(CO113&lt;'Look Ups'!$AC$4,"Yes","No")</f>
        <v>No</v>
      </c>
      <c r="CS113" s="267">
        <f>IF(CR113="Yes",MIN(150,('Look Ups'!$AC$4-PSCR)/('Look Ups'!$AC$4-'Look Ups'!$AC$3)*100),0)</f>
        <v>0</v>
      </c>
      <c r="CT113" s="83"/>
      <c r="CU113" s="91"/>
      <c r="CV113" s="91"/>
      <c r="CW113" s="91"/>
      <c r="CX113" s="256" t="str">
        <f>IF(USCRF&gt;0,USCRMG/USCRF*100,"")</f>
        <v/>
      </c>
      <c r="CY113" s="293">
        <f>IF(PUSCR&lt;'Look Ups'!$AC$4,MIN(150,('Look Ups'!$AC$4-PUSCR)/('Look Ups'!$AC$4-'Look Ups'!$AC$3)*100),0)</f>
        <v>0</v>
      </c>
      <c r="CZ113" s="275">
        <f>IF(PUSCR&lt;'Look Ups'!$AC$4,USCRF*(USCRL1+USCRL2)/4+(USCRMG-USCRF/2)*(USCRL1+USCRL2)/3,0)</f>
        <v>0</v>
      </c>
      <c r="DA113" s="294">
        <f>IF(ZVAL=1,1,IF(LPM&gt;0,0.64*((AM+MAM)/(E+(MC/2))^2)^0.3,0))</f>
        <v>1</v>
      </c>
      <c r="DB113" s="256">
        <f>0.65*((AM+MAM)*EFM)+0.35*((AM+MAM)*ZVAL)</f>
        <v>126.67409999999998</v>
      </c>
      <c r="DC113" s="256">
        <f>IF(ZVAL=1,1,IF(LPG&gt;0,0.72*(AG/(LPG^2))^0.3,0))</f>
        <v>1</v>
      </c>
      <c r="DD113" s="256">
        <f>AG*EFG</f>
        <v>70.563000000000017</v>
      </c>
      <c r="DE113" s="256">
        <f>IF(AZ113&gt;0,'Look Ups'!$S$3,0)</f>
        <v>1</v>
      </c>
      <c r="DF113" s="256">
        <f>IF(LPS&gt;0,0.72*(AS/(LPS^2))^0.3,0)</f>
        <v>0</v>
      </c>
      <c r="DG113" s="256">
        <f>EFS*AS</f>
        <v>0</v>
      </c>
      <c r="DH113" s="256">
        <f>IF(LPD&gt;0,0.72*(AD/(LPD^2))^0.3,0)</f>
        <v>0</v>
      </c>
      <c r="DI113" s="280">
        <f>IF((AD-AG)&gt;0,0.3*(AD-AG)*EFD,0)</f>
        <v>0</v>
      </c>
      <c r="DJ113" s="295" t="str">
        <f>IF((SCRF=0),"-",IF(AND(MSASC&gt;AG,SCRMG&lt;(0.75*SCRF)),"valid","ERROR"))</f>
        <v>valid</v>
      </c>
      <c r="DK113" s="266" t="str">
        <f>IF((SF=0),"-",IF((SMG&lt;(0.75*SF)),"ERROR",IF(AND(MSASP&gt;MSASC,MSASP&gt;AG,MSASP&gt;=0.36*RSAM),"valid","Small")))</f>
        <v>valid</v>
      </c>
      <c r="DL113" s="267" t="str">
        <f>IF(C113="","",CONCATENATE("MG",IF(FLSCR="valid","Scr",""),IF(FLSPI="valid","SP","")))</f>
        <v>MGScrSP</v>
      </c>
      <c r="DM113" s="294">
        <f>RSAM+RSAG</f>
        <v>197.2371</v>
      </c>
      <c r="DN113" s="256">
        <f>IF(MSASP&gt;0,'Look Ups'!$AI$4*(ZVAL*MSASP-RSAG),0)</f>
        <v>41.886977499999993</v>
      </c>
      <c r="DO113" s="256">
        <f>IF(AND(MSASC&gt;0,(MSASC&gt;=0.36*RSAM)),('Look Ups'!$AI$3*(ZVAL*MSASC-RSAG)),(0))</f>
        <v>23.083479999999987</v>
      </c>
      <c r="DP113" s="256">
        <f>IF(MSASP&gt;0,'Look Ups'!$AI$5*(ZVAL*MSASP-RSAG),0)</f>
        <v>39.094512333333334</v>
      </c>
      <c r="DQ113" s="256">
        <f>IF(MSASC&gt;0,'Look Ups'!$AI$6*(MSASC-RSAG),0)</f>
        <v>4.6166959999999984</v>
      </c>
      <c r="DR113" s="280">
        <f>'Look Ups'!$AI$7*MAX(IF(MSAUSC&gt;0,EUSC/100*(MSAUSC-RSAG),0),IF(CR113="Yes",ELSC/100*(MSASC-RSAG),0))</f>
        <v>0</v>
      </c>
      <c r="DS113" s="280">
        <f>0.36*RSAM</f>
        <v>45.602675999999988</v>
      </c>
      <c r="DT113" s="296">
        <f>_xlfn.IFS(SPC="MG",RAMG+DS113,SPC="MGScr",RAMG+RASCO,SPC="MGSp",RAMG+RASPO,SPC="MGScrSp",RAMG+RASPSC+RASCR)+RAUSC+RSAST+RSAD+RSAMZ+RSA2M</f>
        <v>240.94830833333333</v>
      </c>
      <c r="DU113" s="63"/>
    </row>
    <row r="114" spans="1:125" ht="15.6" customHeight="1" x14ac:dyDescent="0.3">
      <c r="A114" s="27"/>
      <c r="B114" s="64"/>
      <c r="C114" s="64" t="s">
        <v>467</v>
      </c>
      <c r="D114" s="85" t="s">
        <v>468</v>
      </c>
      <c r="E114" s="86" t="s">
        <v>469</v>
      </c>
      <c r="F114" s="252">
        <f ca="1">IF(RW=0,0,ROUND(DLF*0.93*RL^LF*RSA^0.4/RW^0.325,3))</f>
        <v>0.95</v>
      </c>
      <c r="G114" s="252" t="str">
        <f ca="1">IF(OR(FLSCR="ERROR",FLSPI="ERROR"),"No",IF(TODAY()-'Look Ups'!$D$4*365&gt;I114,"WP Applied","Yes"))</f>
        <v>Yes</v>
      </c>
      <c r="H114" s="253" t="str">
        <f>IF(SPC="","",CONCATENATE("Main-Genoa",IF(FLSCR="valid",IF(OR(CR114="Yes",MSAUSC&gt;0),"-Screacher (Upwind)","-Screacher"),""),IF(FLSPI="valid","-Spinnaker",""),IF(RSAMZ&gt;0,"-Mizzen",""),IF(RSA2M&gt;0,"-Second Main",""),IF(AS&gt;0,"-Staysail",""),IF(AD&gt;0,"-Drifter","")))</f>
        <v>Main-Genoa-Screacher-Spinnaker</v>
      </c>
      <c r="I114" s="1">
        <v>44782</v>
      </c>
      <c r="J114" s="1">
        <v>44784</v>
      </c>
      <c r="K114" s="87" t="s">
        <v>163</v>
      </c>
      <c r="L114" s="87" t="s">
        <v>164</v>
      </c>
      <c r="M114" s="207"/>
      <c r="N114" s="88" t="s">
        <v>165</v>
      </c>
      <c r="O114" s="88"/>
      <c r="P114" s="89">
        <v>7.2</v>
      </c>
      <c r="Q114" s="90">
        <v>12.58</v>
      </c>
      <c r="R114" s="87"/>
      <c r="S114" s="256">
        <f>IF((LOAA&gt;LOA),0.025*LOAA,0.025*LOA)</f>
        <v>0.3145</v>
      </c>
      <c r="T114" s="117">
        <v>0.27</v>
      </c>
      <c r="U114" s="117">
        <v>0</v>
      </c>
      <c r="V114" s="258">
        <f>IF((_xlfn.SINGLE(LOAA)&gt;_xlfn.SINGLE(LOA)),_xlfn.SINGLE(LOAA),_xlfn.SINGLE(LOA)-_xlfn.SINGLE(FOC)-_xlfn.SINGLE(AOC))</f>
        <v>12.31</v>
      </c>
      <c r="W114" s="259">
        <f>IF(RL&gt;0,IF(RL&gt;'Look Ups'!Y$7,'Look Ups'!Y$8,('Look Ups'!Y$3*RL^3+'Look Ups'!Y$4*RL^2+'Look Ups'!Y$5*RL+'Look Ups'!Y$6)),0)</f>
        <v>0.3</v>
      </c>
      <c r="X114" s="92">
        <v>3010</v>
      </c>
      <c r="Y114" s="262">
        <f ca="1">IF(WDATE&lt;(TODAY()-'Look Ups'!$D$4*365),-WM*'Look Ups'!$D$5/100,0)</f>
        <v>0</v>
      </c>
      <c r="Z114" s="93"/>
      <c r="AA114" s="93"/>
      <c r="AB114" s="75"/>
      <c r="AC114" s="270">
        <f>WCD+NC*'Look Ups'!$AF$3</f>
        <v>0</v>
      </c>
      <c r="AD114" s="265">
        <f ca="1">IF(RL&lt;'Look Ups'!AM$3,'Look Ups'!AM$4,IF(RL&gt;'Look Ups'!AM$5,'Look Ups'!AM$6,(RL-'Look Ups'!AM$3)/('Look Ups'!AM$5-'Look Ups'!AM$3)*('Look Ups'!AM$6-'Look Ups'!AM$4)+'Look Ups'!AM$4))/100*WS</f>
        <v>301</v>
      </c>
      <c r="AE114" s="266">
        <f ca="1">WM+WP+WE</f>
        <v>3010</v>
      </c>
      <c r="AF114" s="267">
        <f ca="1">_xlfn.SINGLE(WS)+IF(_xlfn.SINGLE(TCW)&gt;=_xlfn.SINGLE(CWA),_xlfn.SINGLE(CWA),_xlfn.SINGLE(TCW))</f>
        <v>3010</v>
      </c>
      <c r="AG114" s="94" t="s">
        <v>145</v>
      </c>
      <c r="AH114" s="95" t="s">
        <v>146</v>
      </c>
      <c r="AI114" s="96" t="s">
        <v>147</v>
      </c>
      <c r="AJ114" s="218"/>
      <c r="AK114" s="273">
        <f>IF(C114="",0,VLOOKUP(AG114,'Look Ups'!$F$3:$G$6,2,0)*VLOOKUP(AH114,'Look Ups'!$I$3:$J$5,2,0)*VLOOKUP(AI114,'Look Ups'!$L$3:$M$7,2,0)*IF(AJ114="",1,VLOOKUP(AJ114,'Look Ups'!$O$3:$P$4,2,0)))</f>
        <v>1</v>
      </c>
      <c r="AL114" s="83">
        <v>14.2</v>
      </c>
      <c r="AM114" s="91">
        <v>13.72</v>
      </c>
      <c r="AN114" s="91">
        <v>4.99</v>
      </c>
      <c r="AO114" s="91">
        <v>1.39</v>
      </c>
      <c r="AP114" s="91">
        <v>0.31</v>
      </c>
      <c r="AQ114" s="91">
        <v>14.2</v>
      </c>
      <c r="AR114" s="91">
        <v>0.13</v>
      </c>
      <c r="AS114" s="91">
        <v>5.1100000000000003</v>
      </c>
      <c r="AT114" s="91">
        <v>0.06</v>
      </c>
      <c r="AU114" s="91">
        <v>0.6</v>
      </c>
      <c r="AV114" s="91" t="s">
        <v>148</v>
      </c>
      <c r="AW114" s="97">
        <v>0</v>
      </c>
      <c r="AX114" s="256">
        <f>P+ER</f>
        <v>14.26</v>
      </c>
      <c r="AY114" s="256">
        <f>P*0.375*MC</f>
        <v>3.1949999999999994</v>
      </c>
      <c r="AZ114" s="275">
        <f>IF(C114="",0,(0.5*(_ML1*LPM)+0.5*(_ML1*HB)+0.66*(P*PR)+0.66*(_ML2*RDM)+0.66*(E*ER))*VLOOKUP(BATT,'Look Ups'!$U$3:$V$4,2,0))</f>
        <v>49.525828000000004</v>
      </c>
      <c r="BA114" s="98"/>
      <c r="BB114" s="99"/>
      <c r="BC114" s="119">
        <v>12.94</v>
      </c>
      <c r="BD114" s="120">
        <v>3.71</v>
      </c>
      <c r="BE114" s="120">
        <v>3.98</v>
      </c>
      <c r="BF114" s="120">
        <v>0.19</v>
      </c>
      <c r="BG114" s="120">
        <v>11.85</v>
      </c>
      <c r="BH114" s="120"/>
      <c r="BI114" s="120"/>
      <c r="BJ114" s="120">
        <v>-0.12</v>
      </c>
      <c r="BK114" s="120">
        <v>0.13</v>
      </c>
      <c r="BL114" s="97"/>
      <c r="BM114" s="275">
        <f>(0.5*LL*LPG)+(0.5*_LG1*HG)+(0.66*LL*LLRG)+(0.66*FG*FRG)+(IF((HG&gt;0),(0.66*_LG2*LRG),(0.66*_LG1*LRG)))</f>
        <v>24.674523999999998</v>
      </c>
      <c r="BN114" s="282"/>
      <c r="BO114" s="283"/>
      <c r="BP114" s="284"/>
      <c r="BQ114" s="284"/>
      <c r="BR114" s="283"/>
      <c r="BS114" s="284"/>
      <c r="BT114" s="284"/>
      <c r="BU114" s="280">
        <f>(0.5*LLS*LPS)+(0.66*LLS*LLRS)+(0.66*LS*LRS)+(0.66*FS*FRS)</f>
        <v>0</v>
      </c>
      <c r="BV114" s="285"/>
      <c r="BW114" s="283"/>
      <c r="BX114" s="283"/>
      <c r="BY114" s="283"/>
      <c r="BZ114" s="283"/>
      <c r="CA114" s="283"/>
      <c r="CB114" s="283"/>
      <c r="CC114" s="275">
        <f>(0.5*LLD*LPD)+(0.66*LLD*LLRD)+(0.66*LCHD*LRD)+(0.66*FD*FRD)</f>
        <v>0</v>
      </c>
      <c r="CD114" s="98">
        <v>8.8800000000000008</v>
      </c>
      <c r="CE114" s="91">
        <v>17.02</v>
      </c>
      <c r="CF114" s="91">
        <v>13.88</v>
      </c>
      <c r="CG114" s="91">
        <v>9.82</v>
      </c>
      <c r="CH114" s="266">
        <f>IF(SF&gt;0,SMG/SF*100,"")</f>
        <v>110.58558558558558</v>
      </c>
      <c r="CI114" s="283"/>
      <c r="CJ114" s="280">
        <f>SF*(_SL1+_SL2)/4+(SMG-SF/2)*(_SL1+_SL2)/3</f>
        <v>124.012</v>
      </c>
      <c r="CK114" s="83">
        <v>8</v>
      </c>
      <c r="CL114" s="91">
        <v>14.45</v>
      </c>
      <c r="CM114" s="91">
        <v>12.5</v>
      </c>
      <c r="CN114" s="91">
        <v>4.63</v>
      </c>
      <c r="CO114" s="256">
        <f>IF(SCRF&gt;0,SCRMG/SCRF*100,"")</f>
        <v>57.875</v>
      </c>
      <c r="CP114" s="283"/>
      <c r="CQ114" s="256">
        <f>SCRF*(SCRL1+SCRL2)/4+(SCRMG-SCRF/2)*(SCRL1+SCRL2)/3</f>
        <v>59.5595</v>
      </c>
      <c r="CR114" s="256" t="str">
        <f>IF(CO114&lt;'Look Ups'!$AC$4,"Yes","No")</f>
        <v>No</v>
      </c>
      <c r="CS114" s="267">
        <f>IF(CR114="Yes",MIN(150,('Look Ups'!$AC$4-PSCR)/('Look Ups'!$AC$4-'Look Ups'!$AC$3)*100),0)</f>
        <v>0</v>
      </c>
      <c r="CT114" s="83"/>
      <c r="CU114" s="91"/>
      <c r="CV114" s="91"/>
      <c r="CW114" s="91"/>
      <c r="CX114" s="256" t="str">
        <f>IF(USCRF&gt;0,USCRMG/USCRF*100,"")</f>
        <v/>
      </c>
      <c r="CY114" s="293">
        <f>IF(PUSCR&lt;'Look Ups'!$AC$4,MIN(150,('Look Ups'!$AC$4-PUSCR)/('Look Ups'!$AC$4-'Look Ups'!$AC$3)*100),0)</f>
        <v>0</v>
      </c>
      <c r="CZ114" s="275">
        <f>IF(PUSCR&lt;'Look Ups'!$AC$4,USCRF*(USCRL1+USCRL2)/4+(USCRMG-USCRF/2)*(USCRL1+USCRL2)/3,0)</f>
        <v>0</v>
      </c>
      <c r="DA114" s="294">
        <f>IF(ZVAL=1,1,IF(LPM&gt;0,0.64*((AM+MAM)/(E+(MC/2))^2)^0.3,0))</f>
        <v>1</v>
      </c>
      <c r="DB114" s="256">
        <f>0.65*((AM+MAM)*EFM)+0.35*((AM+MAM)*ZVAL)</f>
        <v>52.720827999999997</v>
      </c>
      <c r="DC114" s="256">
        <f>IF(ZVAL=1,1,IF(LPG&gt;0,0.72*(AG/(LPG^2))^0.3,0))</f>
        <v>1</v>
      </c>
      <c r="DD114" s="256">
        <f>AG*EFG</f>
        <v>24.674523999999998</v>
      </c>
      <c r="DE114" s="256">
        <f>IF(AZ114&gt;0,'Look Ups'!$S$3,0)</f>
        <v>1</v>
      </c>
      <c r="DF114" s="256">
        <f>IF(LPS&gt;0,0.72*(AS/(LPS^2))^0.3,0)</f>
        <v>0</v>
      </c>
      <c r="DG114" s="256">
        <f>EFS*AS</f>
        <v>0</v>
      </c>
      <c r="DH114" s="256">
        <f>IF(LPD&gt;0,0.72*(AD/(LPD^2))^0.3,0)</f>
        <v>0</v>
      </c>
      <c r="DI114" s="280">
        <f>IF((AD-AG)&gt;0,0.3*(AD-AG)*EFD,0)</f>
        <v>0</v>
      </c>
      <c r="DJ114" s="295" t="str">
        <f>IF((SCRF=0),"-",IF(AND(MSASC&gt;AG,SCRMG&lt;(0.75*SCRF)),"valid","ERROR"))</f>
        <v>valid</v>
      </c>
      <c r="DK114" s="266" t="str">
        <f>IF((SF=0),"-",IF((SMG&lt;(0.75*SF)),"ERROR",IF(AND(MSASP&gt;MSASC,MSASP&gt;AG,MSASP&gt;=0.36*RSAM),"valid","Small")))</f>
        <v>valid</v>
      </c>
      <c r="DL114" s="267" t="str">
        <f>IF(C114="","",CONCATENATE("MG",IF(FLSCR="valid","Scr",""),IF(FLSPI="valid","SP","")))</f>
        <v>MGScrSP</v>
      </c>
      <c r="DM114" s="294">
        <f>RSAM+RSAG</f>
        <v>77.395352000000003</v>
      </c>
      <c r="DN114" s="256">
        <f>IF(MSASP&gt;0,'Look Ups'!$AI$4*(ZVAL*MSASP-RSAG),0)</f>
        <v>29.801242800000001</v>
      </c>
      <c r="DO114" s="256">
        <f>IF(AND(MSASC&gt;0,(MSASC&gt;=0.36*RSAM)),('Look Ups'!$AI$3*(ZVAL*MSASC-RSAG)),(0))</f>
        <v>12.209741599999999</v>
      </c>
      <c r="DP114" s="256">
        <f>IF(MSASP&gt;0,'Look Ups'!$AI$5*(ZVAL*MSASP-RSAG),0)</f>
        <v>27.814493280000004</v>
      </c>
      <c r="DQ114" s="256">
        <f>IF(MSASC&gt;0,'Look Ups'!$AI$6*(MSASC-RSAG),0)</f>
        <v>2.4419483200000003</v>
      </c>
      <c r="DR114" s="280">
        <f>'Look Ups'!$AI$7*MAX(IF(MSAUSC&gt;0,EUSC/100*(MSAUSC-RSAG),0),IF(CR114="Yes",ELSC/100*(MSASC-RSAG),0))</f>
        <v>0</v>
      </c>
      <c r="DS114" s="280">
        <f>0.36*RSAM</f>
        <v>18.979498079999999</v>
      </c>
      <c r="DT114" s="296">
        <f>_xlfn.IFS(SPC="MG",RAMG+DS114,SPC="MGScr",RAMG+RASCO,SPC="MGSp",RAMG+RASPO,SPC="MGScrSp",RAMG+RASPSC+RASCR)+RAUSC+RSAST+RSAD+RSAMZ+RSA2M</f>
        <v>107.6517936</v>
      </c>
      <c r="DU114" s="27"/>
    </row>
    <row r="115" spans="1:125" ht="15.6" customHeight="1" x14ac:dyDescent="0.3">
      <c r="A115" s="4"/>
      <c r="B115" s="84"/>
      <c r="C115" s="64" t="s">
        <v>470</v>
      </c>
      <c r="D115" s="101" t="s">
        <v>471</v>
      </c>
      <c r="E115" s="86" t="s">
        <v>472</v>
      </c>
      <c r="F115" s="252">
        <f ca="1">IF(RW=0,0,ROUND(DLF*0.93*RL^LF*RSA^0.4/RW^0.325,3))</f>
        <v>0.97799999999999998</v>
      </c>
      <c r="G115" s="252" t="str">
        <f ca="1">IF(OR(FLSCR="ERROR",FLSPI="ERROR"),"No",IF(TODAY()-'Look Ups'!$D$4*365&gt;I115,"WP Applied","Yes"))</f>
        <v>WP Applied</v>
      </c>
      <c r="H115" s="253" t="str">
        <f>IF(SPC="","",CONCATENATE("Main-Genoa",IF(FLSCR="valid",IF(OR(CR115="Yes",MSAUSC&gt;0),"-Screacher (Upwind)","-Screacher"),""),IF(FLSPI="valid","-Spinnaker",""),IF(RSAMZ&gt;0,"-Mizzen",""),IF(RSA2M&gt;0,"-Second Main",""),IF(AS&gt;0,"-Staysail",""),IF(AD&gt;0,"-Drifter","")))</f>
        <v>Main-Genoa-Screacher (Upwind)-Spinnaker</v>
      </c>
      <c r="I115" s="108">
        <v>38420</v>
      </c>
      <c r="J115" s="1">
        <v>45552</v>
      </c>
      <c r="K115" s="87" t="s">
        <v>186</v>
      </c>
      <c r="L115" s="87" t="s">
        <v>245</v>
      </c>
      <c r="M115" s="207"/>
      <c r="N115" s="97" t="s">
        <v>165</v>
      </c>
      <c r="O115" s="97"/>
      <c r="P115" s="102"/>
      <c r="Q115" s="90">
        <v>12.96</v>
      </c>
      <c r="R115" s="87"/>
      <c r="S115" s="256">
        <f>IF((LOAA&gt;LOA),0.025*LOAA,0.025*LOA)</f>
        <v>0.32400000000000007</v>
      </c>
      <c r="T115" s="91">
        <v>0.30000000000000004</v>
      </c>
      <c r="U115" s="91">
        <v>0</v>
      </c>
      <c r="V115" s="258">
        <f>IF((_xlfn.SINGLE(LOAA)&gt;_xlfn.SINGLE(LOA)),_xlfn.SINGLE(LOAA),_xlfn.SINGLE(LOA)-_xlfn.SINGLE(FOC)-_xlfn.SINGLE(AOC))</f>
        <v>12.66</v>
      </c>
      <c r="W115" s="259">
        <f>IF(RL&gt;0,IF(RL&gt;'Look Ups'!Y$7,'Look Ups'!Y$8,('Look Ups'!Y$3*RL^3+'Look Ups'!Y$4*RL^2+'Look Ups'!Y$5*RL+'Look Ups'!Y$6)),0)</f>
        <v>0.3</v>
      </c>
      <c r="X115" s="92">
        <f>4485-115</f>
        <v>4370</v>
      </c>
      <c r="Y115" s="262">
        <f ca="1">IF(WDATE&lt;(TODAY()-'Look Ups'!$D$4*365),-WM*'Look Ups'!$D$5/100,0)</f>
        <v>-655.5</v>
      </c>
      <c r="Z115" s="93"/>
      <c r="AA115" s="93"/>
      <c r="AB115" s="75"/>
      <c r="AC115" s="270">
        <f>WCD+NC*'Look Ups'!$AF$3</f>
        <v>0</v>
      </c>
      <c r="AD115" s="265">
        <f ca="1">IF(RL&lt;'Look Ups'!AM$3,'Look Ups'!AM$4,IF(RL&gt;'Look Ups'!AM$5,'Look Ups'!AM$6,(RL-'Look Ups'!AM$3)/('Look Ups'!AM$5-'Look Ups'!AM$3)*('Look Ups'!AM$6-'Look Ups'!AM$4)+'Look Ups'!AM$4))/100*WS</f>
        <v>371.45000000000005</v>
      </c>
      <c r="AE115" s="266">
        <f ca="1">WM+WP+WE</f>
        <v>3714.5</v>
      </c>
      <c r="AF115" s="267">
        <f ca="1">_xlfn.SINGLE(WS)+IF(_xlfn.SINGLE(TCW)&gt;=_xlfn.SINGLE(CWA),_xlfn.SINGLE(CWA),_xlfn.SINGLE(TCW))</f>
        <v>3714.5</v>
      </c>
      <c r="AG115" s="94" t="s">
        <v>145</v>
      </c>
      <c r="AH115" s="95" t="s">
        <v>146</v>
      </c>
      <c r="AI115" s="96" t="s">
        <v>147</v>
      </c>
      <c r="AJ115" s="218"/>
      <c r="AK115" s="273">
        <f>IF(C115="",0,VLOOKUP(AG115,'Look Ups'!$F$3:$G$6,2,0)*VLOOKUP(AH115,'Look Ups'!$I$3:$J$5,2,0)*VLOOKUP(AI115,'Look Ups'!$L$3:$M$7,2,0)*IF(AJ115="",1,VLOOKUP(AJ115,'Look Ups'!$O$3:$P$4,2,0)))</f>
        <v>1</v>
      </c>
      <c r="AL115" s="83">
        <v>15.5</v>
      </c>
      <c r="AM115" s="91">
        <v>15.04</v>
      </c>
      <c r="AN115" s="91">
        <v>4.63</v>
      </c>
      <c r="AO115" s="91">
        <v>2.2000000000000002</v>
      </c>
      <c r="AP115" s="91">
        <v>0.4</v>
      </c>
      <c r="AQ115" s="91">
        <v>15.29</v>
      </c>
      <c r="AR115" s="91">
        <v>0.34</v>
      </c>
      <c r="AS115" s="91">
        <v>4.7300000000000004</v>
      </c>
      <c r="AT115" s="91">
        <v>0.02</v>
      </c>
      <c r="AU115" s="91">
        <v>0.7</v>
      </c>
      <c r="AV115" s="91" t="s">
        <v>148</v>
      </c>
      <c r="AW115" s="97" t="s">
        <v>473</v>
      </c>
      <c r="AX115" s="256">
        <f>P+ER</f>
        <v>15.309999999999999</v>
      </c>
      <c r="AY115" s="256">
        <f>P*0.375*MC</f>
        <v>4.0136249999999993</v>
      </c>
      <c r="AZ115" s="275">
        <f>IF(C115="",0,(0.5*(_ML1*LPM)+0.5*(_ML1*HB)+0.66*(P*PR)+0.66*(_ML2*RDM)+0.66*(E*ER))*VLOOKUP(BATT,'Look Ups'!$U$3:$V$4,2,0))</f>
        <v>60.396571999999999</v>
      </c>
      <c r="BA115" s="98"/>
      <c r="BB115" s="99"/>
      <c r="BC115" s="119">
        <v>13.87</v>
      </c>
      <c r="BD115" s="120">
        <v>5.24</v>
      </c>
      <c r="BE115" s="120">
        <v>5.81</v>
      </c>
      <c r="BF115" s="120">
        <v>0.125</v>
      </c>
      <c r="BG115" s="120">
        <v>12.42</v>
      </c>
      <c r="BH115" s="120"/>
      <c r="BI115" s="120"/>
      <c r="BJ115" s="120">
        <v>0</v>
      </c>
      <c r="BK115" s="120">
        <v>-0.22500000000000001</v>
      </c>
      <c r="BL115" s="97">
        <v>0</v>
      </c>
      <c r="BM115" s="275">
        <f>(0.5*LL*LPG)+(0.5*_LG1*HG)+(0.66*LL*LLRG)+(0.66*FG*FRG)+(IF((HG&gt;0),(0.66*_LG2*LRG),(0.66*_LG1*LRG)))</f>
        <v>34.759030000000003</v>
      </c>
      <c r="BN115" s="282"/>
      <c r="BO115" s="283"/>
      <c r="BP115" s="284"/>
      <c r="BQ115" s="284"/>
      <c r="BR115" s="283"/>
      <c r="BS115" s="284"/>
      <c r="BT115" s="284"/>
      <c r="BU115" s="280">
        <f>(0.5*LLS*LPS)+(0.66*LLS*LLRS)+(0.66*LS*LRS)+(0.66*FS*FRS)</f>
        <v>0</v>
      </c>
      <c r="BV115" s="285"/>
      <c r="BW115" s="283"/>
      <c r="BX115" s="283"/>
      <c r="BY115" s="283"/>
      <c r="BZ115" s="283"/>
      <c r="CA115" s="283"/>
      <c r="CB115" s="283"/>
      <c r="CC115" s="275">
        <f>(0.5*LLD*LPD)+(0.66*LLD*LLRD)+(0.66*LCHD*LRD)+(0.66*FD*FRD)</f>
        <v>0</v>
      </c>
      <c r="CD115" s="98">
        <v>11.45</v>
      </c>
      <c r="CE115" s="91">
        <v>17.89</v>
      </c>
      <c r="CF115" s="91">
        <v>16.53</v>
      </c>
      <c r="CG115" s="91">
        <v>10.199999999999999</v>
      </c>
      <c r="CH115" s="266">
        <f>IF(SF&gt;0,SMG/SF*100,"")</f>
        <v>89.082969432314414</v>
      </c>
      <c r="CI115" s="286"/>
      <c r="CJ115" s="280">
        <f>SF*(_SL1+_SL2)/4+(SMG-SF/2)*(_SL1+_SL2)/3</f>
        <v>149.87041666666664</v>
      </c>
      <c r="CK115" s="83">
        <v>8.51</v>
      </c>
      <c r="CL115" s="91">
        <v>15.26</v>
      </c>
      <c r="CM115" s="91">
        <v>12.32</v>
      </c>
      <c r="CN115" s="91">
        <v>4.3499999999999996</v>
      </c>
      <c r="CO115" s="256">
        <f>IF(SCRF&gt;0,SCRMG/SCRF*100,"")</f>
        <v>51.116333725029371</v>
      </c>
      <c r="CP115" s="286"/>
      <c r="CQ115" s="256">
        <f>SCRF*(SCRL1+SCRL2)/4+(SCRMG-SCRF/2)*(SCRL1+SCRL2)/3</f>
        <v>59.549816666666658</v>
      </c>
      <c r="CR115" s="256" t="str">
        <f>IF(CO115&lt;'Look Ups'!$AC$4,"Yes","No")</f>
        <v>Yes</v>
      </c>
      <c r="CS115" s="267">
        <f>IF(CR115="Yes",MIN(150,('Look Ups'!$AC$4-PSCR)/('Look Ups'!$AC$4-'Look Ups'!$AC$3)*100),0)</f>
        <v>17.673325499412584</v>
      </c>
      <c r="CT115" s="83"/>
      <c r="CU115" s="91"/>
      <c r="CV115" s="91"/>
      <c r="CW115" s="91"/>
      <c r="CX115" s="256" t="str">
        <f>IF(USCRF&gt;0,USCRMG/USCRF*100,"")</f>
        <v/>
      </c>
      <c r="CY115" s="293">
        <f>IF(PUSCR&lt;'Look Ups'!$AC$4,MIN(150,('Look Ups'!$AC$4-PUSCR)/('Look Ups'!$AC$4-'Look Ups'!$AC$3)*100),0)</f>
        <v>0</v>
      </c>
      <c r="CZ115" s="275">
        <f>IF(PUSCR&lt;'Look Ups'!$AC$4,USCRF*(USCRL1+USCRL2)/4+(USCRMG-USCRF/2)*(USCRL1+USCRL2)/3,0)</f>
        <v>0</v>
      </c>
      <c r="DA115" s="294">
        <f>IF(ZVAL=1,1,IF(LPM&gt;0,0.64*((AM+MAM)/(E+(MC/2))^2)^0.3,0))</f>
        <v>1</v>
      </c>
      <c r="DB115" s="256">
        <f>0.65*((AM+MAM)*EFM)+0.35*((AM+MAM)*ZVAL)</f>
        <v>64.410196999999997</v>
      </c>
      <c r="DC115" s="256">
        <f>IF(ZVAL=1,1,IF(LPG&gt;0,0.72*(AG/(LPG^2))^0.3,0))</f>
        <v>1</v>
      </c>
      <c r="DD115" s="256">
        <f>AG*EFG</f>
        <v>34.759030000000003</v>
      </c>
      <c r="DE115" s="256">
        <f>IF(AZ115&gt;0,'Look Ups'!$S$3,0)</f>
        <v>1</v>
      </c>
      <c r="DF115" s="256">
        <f>IF(LPS&gt;0,0.72*(AS/(LPS^2))^0.3,0)</f>
        <v>0</v>
      </c>
      <c r="DG115" s="256">
        <f>EFS*AS</f>
        <v>0</v>
      </c>
      <c r="DH115" s="256">
        <f>IF(LPD&gt;0,0.72*(AD/(LPD^2))^0.3,0)</f>
        <v>0</v>
      </c>
      <c r="DI115" s="280">
        <f>IF((AD-AG)&gt;0,0.3*(AD-AG)*EFD,0)</f>
        <v>0</v>
      </c>
      <c r="DJ115" s="295" t="str">
        <f>IF((SCRF=0),"-",IF(AND(MSASC&gt;AG,SCRMG&lt;(0.75*SCRF)),"valid","ERROR"))</f>
        <v>valid</v>
      </c>
      <c r="DK115" s="266" t="str">
        <f>IF((SF=0),"-",IF((SMG&lt;(0.75*SF)),"ERROR",IF(AND(MSASP&gt;MSASC,MSASP&gt;AG,MSASP&gt;=0.36*RSAM),"valid","Small")))</f>
        <v>valid</v>
      </c>
      <c r="DL115" s="267" t="str">
        <f>IF(C115="","",CONCATENATE("MG",IF(FLSCR="valid","Scr",""),IF(FLSPI="valid","SP","")))</f>
        <v>MGScrSP</v>
      </c>
      <c r="DM115" s="294">
        <f>RSAM+RSAG</f>
        <v>99.169227000000006</v>
      </c>
      <c r="DN115" s="256">
        <f>IF(MSASP&gt;0,'Look Ups'!$AI$4*(ZVAL*MSASP-RSAG),0)</f>
        <v>34.533415999999995</v>
      </c>
      <c r="DO115" s="256">
        <f>IF(AND(MSASC&gt;0,(MSASC&gt;=0.36*RSAM)),('Look Ups'!$AI$3*(ZVAL*MSASC-RSAG)),(0))</f>
        <v>8.6767753333333282</v>
      </c>
      <c r="DP115" s="256">
        <f>IF(MSASP&gt;0,'Look Ups'!$AI$5*(ZVAL*MSASP-RSAG),0)</f>
        <v>32.231188266666663</v>
      </c>
      <c r="DQ115" s="256">
        <f>IF(MSASC&gt;0,'Look Ups'!$AI$6*(MSASC-RSAG),0)</f>
        <v>1.7353550666666659</v>
      </c>
      <c r="DR115" s="280">
        <f>'Look Ups'!$AI$7*MAX(IF(MSAUSC&gt;0,EUSC/100*(MSAUSC-RSAG),0),IF(CR115="Yes",ELSC/100*(MSASC-RSAG),0))</f>
        <v>1.0953391053662433</v>
      </c>
      <c r="DS115" s="280">
        <f>0.36*RSAM</f>
        <v>23.187670919999999</v>
      </c>
      <c r="DT115" s="296">
        <f>_xlfn.IFS(SPC="MG",RAMG+DS115,SPC="MGScr",RAMG+RASCO,SPC="MGSp",RAMG+RASPO,SPC="MGScrSp",RAMG+RASPSC+RASCR)+RAUSC+RSAST+RSAD+RSAMZ+RSA2M</f>
        <v>134.23110943869958</v>
      </c>
      <c r="DU115" s="63"/>
    </row>
    <row r="116" spans="1:125" ht="15.6" customHeight="1" x14ac:dyDescent="0.3">
      <c r="A116" s="4"/>
      <c r="B116" s="64"/>
      <c r="C116" s="64" t="s">
        <v>474</v>
      </c>
      <c r="D116" s="101" t="s">
        <v>475</v>
      </c>
      <c r="E116" s="86" t="s">
        <v>476</v>
      </c>
      <c r="F116" s="252">
        <f ca="1">IF(RW=0,0,ROUND(DLF*0.93*RL^LF*RSA^0.4/RW^0.325,3))</f>
        <v>0.90300000000000002</v>
      </c>
      <c r="G116" s="252" t="str">
        <f ca="1">IF(OR(FLSCR="ERROR",FLSPI="ERROR"),"No",IF(TODAY()-'Look Ups'!$D$4*365&gt;I116,"WP Applied","Yes"))</f>
        <v>Yes</v>
      </c>
      <c r="H116" s="253" t="str">
        <f>IF(SPC="","",CONCATENATE("Main-Genoa",IF(FLSCR="valid",IF(OR(CR116="Yes",MSAUSC&gt;0),"-Screacher (Upwind)","-Screacher"),""),IF(FLSPI="valid","-Spinnaker",""),IF(RSAMZ&gt;0,"-Mizzen",""),IF(RSA2M&gt;0,"-Second Main",""),IF(AS&gt;0,"-Staysail",""),IF(AD&gt;0,"-Drifter","")))</f>
        <v>Main-Genoa-Screacher (Upwind)-Spinnaker</v>
      </c>
      <c r="I116" s="1">
        <v>45358</v>
      </c>
      <c r="J116" s="1">
        <v>45608</v>
      </c>
      <c r="K116" s="87" t="s">
        <v>164</v>
      </c>
      <c r="L116" s="87" t="s">
        <v>164</v>
      </c>
      <c r="M116" s="207"/>
      <c r="N116" s="88" t="s">
        <v>165</v>
      </c>
      <c r="O116" s="88"/>
      <c r="P116" s="102"/>
      <c r="Q116" s="90">
        <v>15.69</v>
      </c>
      <c r="R116" s="87"/>
      <c r="S116" s="256">
        <f>IF((LOAA&gt;LOA),0.025*LOAA,0.025*LOA)</f>
        <v>0.39224999999999999</v>
      </c>
      <c r="T116" s="91"/>
      <c r="U116" s="91">
        <v>0</v>
      </c>
      <c r="V116" s="258">
        <f>IF((_xlfn.SINGLE(LOAA)&gt;_xlfn.SINGLE(LOA)),_xlfn.SINGLE(LOAA),_xlfn.SINGLE(LOA)-_xlfn.SINGLE(FOC)-_xlfn.SINGLE(AOC))</f>
        <v>15.69</v>
      </c>
      <c r="W116" s="259">
        <f>IF(RL&gt;0,IF(RL&gt;'Look Ups'!Y$7,'Look Ups'!Y$8,('Look Ups'!Y$3*RL^3+'Look Ups'!Y$4*RL^2+'Look Ups'!Y$5*RL+'Look Ups'!Y$6)),0)</f>
        <v>0.3</v>
      </c>
      <c r="X116" s="92">
        <v>7391</v>
      </c>
      <c r="Y116" s="262">
        <f ca="1">IF(WDATE&lt;(TODAY()-'Look Ups'!$D$4*365),-WM*'Look Ups'!$D$5/100,0)</f>
        <v>0</v>
      </c>
      <c r="Z116" s="93">
        <v>20</v>
      </c>
      <c r="AA116" s="225">
        <v>485</v>
      </c>
      <c r="AB116" s="231">
        <v>6</v>
      </c>
      <c r="AC116" s="270">
        <f>WCD+NC*'Look Ups'!$AF$3</f>
        <v>509</v>
      </c>
      <c r="AD116" s="265">
        <f ca="1">IF(RL&lt;'Look Ups'!AM$3,'Look Ups'!AM$4,IF(RL&gt;'Look Ups'!AM$5,'Look Ups'!AM$6,(RL-'Look Ups'!AM$3)/('Look Ups'!AM$5-'Look Ups'!AM$3)*('Look Ups'!AM$6-'Look Ups'!AM$4)+'Look Ups'!AM$4))/100*WS</f>
        <v>741.1</v>
      </c>
      <c r="AE116" s="266">
        <f ca="1">WM+WP+WE</f>
        <v>7411</v>
      </c>
      <c r="AF116" s="267">
        <f ca="1">_xlfn.SINGLE(WS)+IF(_xlfn.SINGLE(TCW)&gt;=_xlfn.SINGLE(CWA),_xlfn.SINGLE(CWA),_xlfn.SINGLE(TCW))</f>
        <v>7920</v>
      </c>
      <c r="AG116" s="94" t="s">
        <v>145</v>
      </c>
      <c r="AH116" s="95" t="s">
        <v>146</v>
      </c>
      <c r="AI116" s="96" t="s">
        <v>177</v>
      </c>
      <c r="AJ116" s="218"/>
      <c r="AK116" s="273">
        <f>IF(C116="",0,VLOOKUP(AG116,'Look Ups'!$F$3:$G$6,2,0)*VLOOKUP(AH116,'Look Ups'!$I$3:$J$5,2,0)*VLOOKUP(AI116,'Look Ups'!$L$3:$M$7,2,0)*IF(AJ116="",1,VLOOKUP(AJ116,'Look Ups'!$O$3:$P$4,2,0)))</f>
        <v>0.99</v>
      </c>
      <c r="AL116" s="83">
        <v>20.36</v>
      </c>
      <c r="AM116" s="91">
        <v>19.928999999999998</v>
      </c>
      <c r="AN116" s="91">
        <v>5.0759999999999996</v>
      </c>
      <c r="AO116" s="91">
        <v>2.1840000000000002</v>
      </c>
      <c r="AP116" s="91">
        <v>0.76200000000000001</v>
      </c>
      <c r="AQ116" s="91">
        <v>20.05</v>
      </c>
      <c r="AR116" s="91">
        <v>5.8999999999999997E-2</v>
      </c>
      <c r="AS116" s="91">
        <v>5.8</v>
      </c>
      <c r="AT116" s="91">
        <v>2.5000000000000001E-2</v>
      </c>
      <c r="AU116" s="91">
        <v>0</v>
      </c>
      <c r="AV116" s="91" t="s">
        <v>148</v>
      </c>
      <c r="AW116" s="97">
        <v>0</v>
      </c>
      <c r="AX116" s="256">
        <f>P+ER</f>
        <v>20.074999999999999</v>
      </c>
      <c r="AY116" s="256">
        <f>P*0.375*MC</f>
        <v>0</v>
      </c>
      <c r="AZ116" s="275">
        <f>IF(C116="",0,(0.5*(_ML1*LPM)+0.5*(_ML1*HB)+0.66*(P*PR)+0.66*(_ML2*RDM)+0.66*(E*ER))*VLOOKUP(BATT,'Look Ups'!$U$3:$V$4,2,0))</f>
        <v>84.805939680000009</v>
      </c>
      <c r="BA116" s="98"/>
      <c r="BB116" s="99"/>
      <c r="BC116" s="83">
        <v>18.48</v>
      </c>
      <c r="BD116" s="91">
        <v>4.774</v>
      </c>
      <c r="BE116" s="91">
        <v>5.2685000000000004</v>
      </c>
      <c r="BF116" s="91">
        <v>0.127</v>
      </c>
      <c r="BG116" s="91">
        <v>16.756</v>
      </c>
      <c r="BH116" s="91">
        <v>16.738</v>
      </c>
      <c r="BI116" s="91">
        <v>5.8400000000000001E-2</v>
      </c>
      <c r="BJ116" s="91">
        <v>0.1081</v>
      </c>
      <c r="BK116" s="91">
        <v>8.4400000000000003E-2</v>
      </c>
      <c r="BL116" s="97">
        <v>0</v>
      </c>
      <c r="BM116" s="275">
        <f>(0.5*LL*LPG)+(0.5*_LG1*HG)+(0.66*LL*LLRG)+(0.66*FG*FRG)+(IF((HG&gt;0),(0.66*_LG2*LRG),(0.66*_LG1*LRG)))</f>
        <v>47.266240138000008</v>
      </c>
      <c r="BN116" s="282"/>
      <c r="BO116" s="283"/>
      <c r="BP116" s="284"/>
      <c r="BQ116" s="284"/>
      <c r="BR116" s="283"/>
      <c r="BS116" s="284"/>
      <c r="BT116" s="284"/>
      <c r="BU116" s="280">
        <f>(0.5*LLS*LPS)+(0.66*LLS*LLRS)+(0.66*LS*LRS)+(0.66*FS*FRS)</f>
        <v>0</v>
      </c>
      <c r="BV116" s="285"/>
      <c r="BW116" s="283"/>
      <c r="BX116" s="283"/>
      <c r="BY116" s="283"/>
      <c r="BZ116" s="283"/>
      <c r="CA116" s="283"/>
      <c r="CB116" s="283"/>
      <c r="CC116" s="275">
        <f>(0.5*LLD*LPD)+(0.66*LLD*LLRD)+(0.66*LCHD*LRD)+(0.66*FD*FRD)</f>
        <v>0</v>
      </c>
      <c r="CD116" s="98">
        <v>11.21</v>
      </c>
      <c r="CE116" s="91">
        <v>25.3</v>
      </c>
      <c r="CF116" s="91">
        <v>20.533999999999999</v>
      </c>
      <c r="CG116" s="91">
        <v>9.33</v>
      </c>
      <c r="CH116" s="266">
        <f>IF(SF&gt;0,SMG/SF*100,"")</f>
        <v>83.229259589652088</v>
      </c>
      <c r="CI116" s="286"/>
      <c r="CJ116" s="280">
        <f>SF*(_SL1+_SL2)/4+(SMG-SF/2)*(_SL1+_SL2)/3</f>
        <v>185.36033500000002</v>
      </c>
      <c r="CK116" s="83">
        <v>11.85</v>
      </c>
      <c r="CL116" s="91">
        <v>20.100000000000001</v>
      </c>
      <c r="CM116" s="91">
        <v>18.350000000000001</v>
      </c>
      <c r="CN116" s="91">
        <v>6.09</v>
      </c>
      <c r="CO116" s="256">
        <f>IF(SCRF&gt;0,SCRMG/SCRF*100,"")</f>
        <v>51.392405063291136</v>
      </c>
      <c r="CP116" s="286"/>
      <c r="CQ116" s="256">
        <f>SCRF*(SCRL1+SCRL2)/4+(SCRMG-SCRF/2)*(SCRL1+SCRL2)/3</f>
        <v>116.022875</v>
      </c>
      <c r="CR116" s="256" t="str">
        <f>IF(CO116&lt;'Look Ups'!$AC$4,"Yes","No")</f>
        <v>Yes</v>
      </c>
      <c r="CS116" s="267">
        <f>IF(CR116="Yes",MIN(150,('Look Ups'!$AC$4-PSCR)/('Look Ups'!$AC$4-'Look Ups'!$AC$3)*100),0)</f>
        <v>12.15189873417728</v>
      </c>
      <c r="CT116" s="83"/>
      <c r="CU116" s="91"/>
      <c r="CV116" s="91"/>
      <c r="CW116" s="91"/>
      <c r="CX116" s="256" t="str">
        <f>IF(USCRF&gt;0,USCRMG/USCRF*100,"")</f>
        <v/>
      </c>
      <c r="CY116" s="293">
        <f>IF(PUSCR&lt;'Look Ups'!$AC$4,MIN(150,('Look Ups'!$AC$4-PUSCR)/('Look Ups'!$AC$4-'Look Ups'!$AC$3)*100),0)</f>
        <v>0</v>
      </c>
      <c r="CZ116" s="275">
        <f>IF(PUSCR&lt;'Look Ups'!$AC$4,USCRF*(USCRL1+USCRL2)/4+(USCRMG-USCRF/2)*(USCRL1+USCRL2)/3,0)</f>
        <v>0</v>
      </c>
      <c r="DA116" s="294">
        <f>IF(ZVAL=1,1,IF(LPM&gt;0,0.64*((AM+MAM)/(E+(MC/2))^2)^0.3,0))</f>
        <v>1</v>
      </c>
      <c r="DB116" s="256">
        <f>0.65*((AM+MAM)*EFM)+0.35*((AM+MAM)*ZVAL)</f>
        <v>84.805939680000009</v>
      </c>
      <c r="DC116" s="256">
        <f>IF(ZVAL=1,1,IF(LPG&gt;0,0.72*(AG/(LPG^2))^0.3,0))</f>
        <v>1</v>
      </c>
      <c r="DD116" s="256">
        <f>AG*EFG</f>
        <v>47.266240138000008</v>
      </c>
      <c r="DE116" s="256">
        <f>IF(AZ116&gt;0,'Look Ups'!$S$3,0)</f>
        <v>1</v>
      </c>
      <c r="DF116" s="256">
        <f>IF(LPS&gt;0,0.72*(AS/(LPS^2))^0.3,0)</f>
        <v>0</v>
      </c>
      <c r="DG116" s="256">
        <f>EFS*AS</f>
        <v>0</v>
      </c>
      <c r="DH116" s="256">
        <f>IF(LPD&gt;0,0.72*(AD/(LPD^2))^0.3,0)</f>
        <v>0</v>
      </c>
      <c r="DI116" s="280">
        <f>IF((AD-AG)&gt;0,0.3*(AD-AG)*EFD,0)</f>
        <v>0</v>
      </c>
      <c r="DJ116" s="295" t="str">
        <f>IF((SCRF=0),"-",IF(AND(MSASC&gt;AG,SCRMG&lt;(0.75*SCRF)),"valid","ERROR"))</f>
        <v>valid</v>
      </c>
      <c r="DK116" s="266" t="str">
        <f>IF((SF=0),"-",IF((SMG&lt;(0.75*SF)),"ERROR",IF(AND(MSASP&gt;MSASC,MSASP&gt;AG,MSASP&gt;=0.36*RSAM),"valid","Small")))</f>
        <v>valid</v>
      </c>
      <c r="DL116" s="267" t="str">
        <f>IF(C116="","",CONCATENATE("MG",IF(FLSCR="valid","Scr",""),IF(FLSPI="valid","SP","")))</f>
        <v>MGScrSP</v>
      </c>
      <c r="DM116" s="294">
        <f>RSAM+RSAG</f>
        <v>132.07217981800002</v>
      </c>
      <c r="DN116" s="256">
        <f>IF(MSASP&gt;0,'Look Ups'!$AI$4*(ZVAL*MSASP-RSAG),0)</f>
        <v>41.428228458600003</v>
      </c>
      <c r="DO116" s="256">
        <f>IF(AND(MSASC&gt;0,(MSASC&gt;=0.36*RSAM)),('Look Ups'!$AI$3*(ZVAL*MSASC-RSAG)),(0))</f>
        <v>24.064822201699997</v>
      </c>
      <c r="DP116" s="256">
        <f>IF(MSASP&gt;0,'Look Ups'!$AI$5*(ZVAL*MSASP-RSAG),0)</f>
        <v>38.666346561360008</v>
      </c>
      <c r="DQ116" s="256">
        <f>IF(MSASC&gt;0,'Look Ups'!$AI$6*(MSASC-RSAG),0)</f>
        <v>4.81296444034</v>
      </c>
      <c r="DR116" s="280">
        <f>'Look Ups'!$AI$7*MAX(IF(MSAUSC&gt;0,EUSC/100*(MSAUSC-RSAG),0),IF(CR116="Yes",ELSC/100*(MSASC-RSAG),0))</f>
        <v>2.0888091603645682</v>
      </c>
      <c r="DS116" s="280">
        <f>0.36*RSAM</f>
        <v>30.530138284800003</v>
      </c>
      <c r="DT116" s="296">
        <f>_xlfn.IFS(SPC="MG",RAMG+DS116,SPC="MGScr",RAMG+RASCO,SPC="MGSp",RAMG+RASPO,SPC="MGScrSp",RAMG+RASPSC+RASCR)+RAUSC+RSAST+RSAD+RSAMZ+RSA2M</f>
        <v>177.64029998006461</v>
      </c>
      <c r="DU116" s="63"/>
    </row>
    <row r="117" spans="1:125" ht="15.6" customHeight="1" x14ac:dyDescent="0.3">
      <c r="A117" s="4"/>
      <c r="B117" s="64"/>
      <c r="C117" s="64" t="s">
        <v>477</v>
      </c>
      <c r="D117" s="85" t="s">
        <v>277</v>
      </c>
      <c r="E117" s="86" t="s">
        <v>478</v>
      </c>
      <c r="F117" s="252">
        <f ca="1">IF(RW=0,0,ROUND(DLF*0.93*RL^LF*RSA^0.4/RW^0.325,3))</f>
        <v>0.84699999999999998</v>
      </c>
      <c r="G117" s="252" t="str">
        <f ca="1">IF(OR(FLSCR="ERROR",FLSPI="ERROR"),"No",IF(TODAY()-'Look Ups'!$D$4*365&gt;I117,"WP Applied","Yes"))</f>
        <v>Yes</v>
      </c>
      <c r="H117" s="253" t="str">
        <f>IF(SPC="","",CONCATENATE("Main-Genoa",IF(FLSCR="valid",IF(OR(CR117="Yes",MSAUSC&gt;0),"-Screacher (Upwind)","-Screacher"),""),IF(FLSPI="valid","-Spinnaker",""),IF(RSAMZ&gt;0,"-Mizzen",""),IF(RSA2M&gt;0,"-Second Main",""),IF(AS&gt;0,"-Staysail",""),IF(AD&gt;0,"-Drifter","")))</f>
        <v>Main-Genoa-Screacher-Spinnaker</v>
      </c>
      <c r="I117" s="1">
        <v>45375</v>
      </c>
      <c r="J117" s="1">
        <v>45376</v>
      </c>
      <c r="K117" s="87" t="s">
        <v>479</v>
      </c>
      <c r="L117" s="87" t="s">
        <v>164</v>
      </c>
      <c r="M117" s="207"/>
      <c r="N117" s="88" t="s">
        <v>143</v>
      </c>
      <c r="O117" s="88" t="s">
        <v>154</v>
      </c>
      <c r="P117" s="89"/>
      <c r="Q117" s="90">
        <v>7.09</v>
      </c>
      <c r="R117" s="87"/>
      <c r="S117" s="256">
        <f>IF((LOAA&gt;LOA),0.025*LOAA,0.025*LOA)</f>
        <v>0.17725000000000002</v>
      </c>
      <c r="T117" s="91">
        <v>0.03</v>
      </c>
      <c r="U117" s="91"/>
      <c r="V117" s="258">
        <f>IF((_xlfn.SINGLE(LOAA)&gt;_xlfn.SINGLE(LOA)),_xlfn.SINGLE(LOAA),_xlfn.SINGLE(LOA)-_xlfn.SINGLE(FOC)-_xlfn.SINGLE(AOC))</f>
        <v>7.06</v>
      </c>
      <c r="W117" s="259">
        <f>IF(RL&gt;0,IF(RL&gt;'Look Ups'!Y$7,'Look Ups'!Y$8,('Look Ups'!Y$3*RL^3+'Look Ups'!Y$4*RL^2+'Look Ups'!Y$5*RL+'Look Ups'!Y$6)),0)</f>
        <v>0.29000152192799999</v>
      </c>
      <c r="X117" s="92">
        <v>952</v>
      </c>
      <c r="Y117" s="262">
        <f ca="1">IF(WDATE&lt;(TODAY()-'Look Ups'!$D$4*365),-WM*'Look Ups'!$D$5/100,0)</f>
        <v>0</v>
      </c>
      <c r="Z117" s="93"/>
      <c r="AA117" s="93"/>
      <c r="AB117" s="75"/>
      <c r="AC117" s="265">
        <f>WCD+NC*'Look Ups'!$AF$3</f>
        <v>0</v>
      </c>
      <c r="AD117" s="265">
        <f ca="1">IF(RL&lt;'Look Ups'!AM$3,'Look Ups'!AM$4,IF(RL&gt;'Look Ups'!AM$5,'Look Ups'!AM$6,(RL-'Look Ups'!AM$3)/('Look Ups'!AM$5-'Look Ups'!AM$3)*('Look Ups'!AM$6-'Look Ups'!AM$4)+'Look Ups'!AM$4))/100*WS</f>
        <v>273.13745454545455</v>
      </c>
      <c r="AE117" s="266">
        <f ca="1">WM+WP+WE</f>
        <v>952</v>
      </c>
      <c r="AF117" s="267">
        <f ca="1">_xlfn.SINGLE(WS)+IF(_xlfn.SINGLE(TCW)&gt;=_xlfn.SINGLE(CWA),_xlfn.SINGLE(CWA),_xlfn.SINGLE(TCW))</f>
        <v>952</v>
      </c>
      <c r="AG117" s="94" t="s">
        <v>145</v>
      </c>
      <c r="AH117" s="95" t="s">
        <v>146</v>
      </c>
      <c r="AI117" s="96" t="s">
        <v>147</v>
      </c>
      <c r="AJ117" s="218"/>
      <c r="AK117" s="273">
        <f>IF(C117="",0,VLOOKUP(AG117,'Look Ups'!$F$3:$G$6,2,0)*VLOOKUP(AH117,'Look Ups'!$I$3:$J$5,2,0)*VLOOKUP(AI117,'Look Ups'!$L$3:$M$7,2,0)*IF(AJ117="",1,VLOOKUP(AJ117,'Look Ups'!$O$3:$P$4,2,0)))</f>
        <v>1</v>
      </c>
      <c r="AL117" s="83">
        <v>10.255000000000001</v>
      </c>
      <c r="AM117" s="91">
        <v>10.07</v>
      </c>
      <c r="AN117" s="91">
        <v>2.87</v>
      </c>
      <c r="AO117" s="91">
        <v>1.2949999999999999</v>
      </c>
      <c r="AP117" s="91">
        <v>0.39</v>
      </c>
      <c r="AQ117" s="91">
        <v>10.050000000000001</v>
      </c>
      <c r="AR117" s="91">
        <v>0.08</v>
      </c>
      <c r="AS117" s="91">
        <v>2.84</v>
      </c>
      <c r="AT117" s="91">
        <v>0.02</v>
      </c>
      <c r="AU117" s="91">
        <v>0.51</v>
      </c>
      <c r="AV117" s="91" t="s">
        <v>148</v>
      </c>
      <c r="AW117" s="97" t="s">
        <v>480</v>
      </c>
      <c r="AX117" s="256">
        <f>P+ER</f>
        <v>10.07</v>
      </c>
      <c r="AY117" s="256">
        <f>P*0.375*MC</f>
        <v>1.9220625000000002</v>
      </c>
      <c r="AZ117" s="275">
        <f>IF(C117="",0,(0.5*(_ML1*LPM)+0.5*(_ML1*HB)+0.66*(P*PR)+0.66*(_ML2*RDM)+0.66*(E*ER))*VLOOKUP(BATT,'Look Ups'!$U$3:$V$4,2,0))</f>
        <v>24.516183500000004</v>
      </c>
      <c r="BA117" s="98"/>
      <c r="BB117" s="99"/>
      <c r="BC117" s="83">
        <v>8.81</v>
      </c>
      <c r="BD117" s="91">
        <v>2.64</v>
      </c>
      <c r="BE117" s="91">
        <v>2.9</v>
      </c>
      <c r="BF117" s="91">
        <v>0.08</v>
      </c>
      <c r="BG117" s="91">
        <v>7.97</v>
      </c>
      <c r="BH117" s="91">
        <v>7.97</v>
      </c>
      <c r="BI117" s="91">
        <v>0.06</v>
      </c>
      <c r="BJ117" s="91">
        <v>0.13</v>
      </c>
      <c r="BK117" s="91">
        <v>0.03</v>
      </c>
      <c r="BL117" s="97"/>
      <c r="BM117" s="275">
        <f>(0.5*LL*LPG)+(0.5*_LG1*HG)+(0.66*LL*LLRG)+(0.66*FG*FRG)+(IF((HG&gt;0),(0.66*_LG2*LRG),(0.66*_LG1*LRG)))</f>
        <v>12.879684000000001</v>
      </c>
      <c r="BN117" s="282"/>
      <c r="BO117" s="283"/>
      <c r="BP117" s="284"/>
      <c r="BQ117" s="284"/>
      <c r="BR117" s="283"/>
      <c r="BS117" s="284"/>
      <c r="BT117" s="284"/>
      <c r="BU117" s="280">
        <f>(0.5*LLS*LPS)+(0.66*LLS*LLRS)+(0.66*LS*LRS)+(0.66*FS*FRS)</f>
        <v>0</v>
      </c>
      <c r="BV117" s="285"/>
      <c r="BW117" s="283"/>
      <c r="BX117" s="283"/>
      <c r="BY117" s="283"/>
      <c r="BZ117" s="283"/>
      <c r="CA117" s="283"/>
      <c r="CB117" s="283"/>
      <c r="CC117" s="275">
        <f>(0.5*LLD*LPD)+(0.66*LLD*LLRD)+(0.66*LCHD*LRD)+(0.66*FD*FRD)</f>
        <v>0</v>
      </c>
      <c r="CD117" s="98">
        <v>6.03</v>
      </c>
      <c r="CE117" s="91">
        <v>12.14</v>
      </c>
      <c r="CF117" s="91">
        <v>10.77</v>
      </c>
      <c r="CG117" s="91">
        <v>5.14</v>
      </c>
      <c r="CH117" s="266">
        <f>IF(SF&gt;0,SMG/SF*100,"")</f>
        <v>85.240464344941941</v>
      </c>
      <c r="CI117" s="283"/>
      <c r="CJ117" s="280">
        <f>SF*(_SL1+_SL2)/4+(SMG-SF/2)*(_SL1+_SL2)/3</f>
        <v>50.764741666666666</v>
      </c>
      <c r="CK117" s="83">
        <v>4.3600000000000003</v>
      </c>
      <c r="CL117" s="91">
        <v>10.14</v>
      </c>
      <c r="CM117" s="91">
        <v>9.32</v>
      </c>
      <c r="CN117" s="91">
        <v>2.2999999999999998</v>
      </c>
      <c r="CO117" s="256">
        <f>IF(SCRF&gt;0,SCRMG/SCRF*100,"")</f>
        <v>52.752293577981646</v>
      </c>
      <c r="CP117" s="283"/>
      <c r="CQ117" s="256">
        <f>SCRF*(SCRL1+SCRL2)/4+(SCRMG-SCRF/2)*(SCRL1+SCRL2)/3</f>
        <v>21.989799999999999</v>
      </c>
      <c r="CR117" s="256" t="str">
        <f>IF(CO117&lt;'Look Ups'!$AC$4,"Yes","No")</f>
        <v>No</v>
      </c>
      <c r="CS117" s="267">
        <f>IF(CR117="Yes",MIN(150,('Look Ups'!$AC$4-PSCR)/('Look Ups'!$AC$4-'Look Ups'!$AC$3)*100),0)</f>
        <v>0</v>
      </c>
      <c r="CT117" s="83"/>
      <c r="CU117" s="91"/>
      <c r="CV117" s="91"/>
      <c r="CW117" s="91"/>
      <c r="CX117" s="256" t="str">
        <f>IF(USCRF&gt;0,USCRMG/USCRF*100,"")</f>
        <v/>
      </c>
      <c r="CY117" s="293">
        <f>IF(PUSCR&lt;'Look Ups'!$AC$4,MIN(150,('Look Ups'!$AC$4-PUSCR)/('Look Ups'!$AC$4-'Look Ups'!$AC$3)*100),0)</f>
        <v>0</v>
      </c>
      <c r="CZ117" s="275">
        <f>IF(PUSCR&lt;'Look Ups'!$AC$4,USCRF*(USCRL1+USCRL2)/4+(USCRMG-USCRF/2)*(USCRL1+USCRL2)/3,0)</f>
        <v>0</v>
      </c>
      <c r="DA117" s="294">
        <f>IF(ZVAL=1,1,IF(LPM&gt;0,0.64*((AM+MAM)/(E+(MC/2))^2)^0.3,0))</f>
        <v>1</v>
      </c>
      <c r="DB117" s="256">
        <f>0.65*((AM+MAM)*EFM)+0.35*((AM+MAM)*ZVAL)</f>
        <v>26.438246000000003</v>
      </c>
      <c r="DC117" s="256">
        <f>IF(ZVAL=1,1,IF(LPG&gt;0,0.72*(AG/(LPG^2))^0.3,0))</f>
        <v>1</v>
      </c>
      <c r="DD117" s="256">
        <f>AG*EFG</f>
        <v>12.879684000000001</v>
      </c>
      <c r="DE117" s="256">
        <f>IF(AZ117&gt;0,'Look Ups'!$S$3,0)</f>
        <v>1</v>
      </c>
      <c r="DF117" s="256">
        <f>IF(LPS&gt;0,0.72*(AS/(LPS^2))^0.3,0)</f>
        <v>0</v>
      </c>
      <c r="DG117" s="256">
        <f>EFS*AS</f>
        <v>0</v>
      </c>
      <c r="DH117" s="256">
        <f>IF(LPD&gt;0,0.72*(AD/(LPD^2))^0.3,0)</f>
        <v>0</v>
      </c>
      <c r="DI117" s="280">
        <f>IF((AD-AG)&gt;0,0.3*(AD-AG)*EFD,0)</f>
        <v>0</v>
      </c>
      <c r="DJ117" s="295" t="str">
        <f>IF((SCRF=0),"-",IF(AND(MSASC&gt;AG,SCRMG&lt;(0.75*SCRF)),"valid","ERROR"))</f>
        <v>valid</v>
      </c>
      <c r="DK117" s="266" t="str">
        <f>IF((SF=0),"-",IF((SMG&lt;(0.75*SF)),"ERROR",IF(AND(MSASP&gt;MSASC,MSASP&gt;AG,MSASP&gt;=0.36*RSAM),"valid","Small")))</f>
        <v>valid</v>
      </c>
      <c r="DL117" s="267" t="str">
        <f>IF(C117="","",CONCATENATE("MG",IF(FLSCR="valid","Scr",""),IF(FLSPI="valid","SP","")))</f>
        <v>MGScrSP</v>
      </c>
      <c r="DM117" s="294">
        <f>RSAM+RSAG</f>
        <v>39.317930000000004</v>
      </c>
      <c r="DN117" s="256">
        <f>IF(MSASP&gt;0,'Look Ups'!$AI$4*(ZVAL*MSASP-RSAG),0)</f>
        <v>11.3655173</v>
      </c>
      <c r="DO117" s="256">
        <f>IF(AND(MSASC&gt;0,(MSASC&gt;=0.36*RSAM)),('Look Ups'!$AI$3*(ZVAL*MSASC-RSAG)),(0))</f>
        <v>3.1885405999999992</v>
      </c>
      <c r="DP117" s="256">
        <f>IF(MSASP&gt;0,'Look Ups'!$AI$5*(ZVAL*MSASP-RSAG),0)</f>
        <v>10.607816146666668</v>
      </c>
      <c r="DQ117" s="256">
        <f>IF(MSASC&gt;0,'Look Ups'!$AI$6*(MSASC-RSAG),0)</f>
        <v>0.63770811999999988</v>
      </c>
      <c r="DR117" s="280">
        <f>'Look Ups'!$AI$7*MAX(IF(MSAUSC&gt;0,EUSC/100*(MSAUSC-RSAG),0),IF(CR117="Yes",ELSC/100*(MSASC-RSAG),0))</f>
        <v>0</v>
      </c>
      <c r="DS117" s="280">
        <f>0.36*RSAM</f>
        <v>9.5177685600000004</v>
      </c>
      <c r="DT117" s="296">
        <f>_xlfn.IFS(SPC="MG",RAMG+DS117,SPC="MGScr",RAMG+RASCO,SPC="MGSp",RAMG+RASPO,SPC="MGScrSp",RAMG+RASPSC+RASCR)+RAUSC+RSAST+RSAD+RSAMZ+RSA2M</f>
        <v>50.563454266666668</v>
      </c>
      <c r="DU117" s="63"/>
    </row>
    <row r="118" spans="1:125" ht="15.6" customHeight="1" x14ac:dyDescent="0.3">
      <c r="A118" s="4"/>
      <c r="B118" s="64"/>
      <c r="C118" s="65" t="s">
        <v>481</v>
      </c>
      <c r="D118" s="66" t="s">
        <v>482</v>
      </c>
      <c r="E118" s="67" t="s">
        <v>483</v>
      </c>
      <c r="F118" s="252">
        <f ca="1">IF(RW=0,0,ROUND(DLF*0.93*RL^LF*RSA^0.4/RW^0.325,3))</f>
        <v>0.875</v>
      </c>
      <c r="G118" s="252" t="str">
        <f ca="1">IF(OR(FLSCR="ERROR",FLSPI="ERROR"),"No",IF(TODAY()-'Look Ups'!$D$4*365&gt;I118,"WP Applied","Yes"))</f>
        <v>Yes</v>
      </c>
      <c r="H118" s="253" t="str">
        <f>IF(SPC="","",CONCATENATE("Main-Genoa",IF(FLSCR="valid",IF(OR(CR118="Yes",MSAUSC&gt;0),"-Screacher (Upwind)","-Screacher"),""),IF(FLSPI="valid","-Spinnaker",""),IF(RSAMZ&gt;0,"-Mizzen",""),IF(RSA2M&gt;0,"-Second Main",""),IF(AS&gt;0,"-Staysail",""),IF(AD&gt;0,"-Drifter","")))</f>
        <v>Main-Genoa-Screacher (Upwind)-Spinnaker</v>
      </c>
      <c r="I118" s="1">
        <v>43007</v>
      </c>
      <c r="J118" s="1">
        <v>43887</v>
      </c>
      <c r="K118" s="87" t="s">
        <v>244</v>
      </c>
      <c r="L118" s="87" t="s">
        <v>176</v>
      </c>
      <c r="M118" s="207"/>
      <c r="N118" s="88" t="s">
        <v>143</v>
      </c>
      <c r="O118" s="88" t="s">
        <v>144</v>
      </c>
      <c r="P118" s="89"/>
      <c r="Q118" s="90">
        <v>6</v>
      </c>
      <c r="R118" s="87"/>
      <c r="S118" s="256">
        <f>IF((LOAA&gt;LOA),0.025*LOAA,0.025*LOA)</f>
        <v>0.15000000000000002</v>
      </c>
      <c r="T118" s="91"/>
      <c r="U118" s="91"/>
      <c r="V118" s="258">
        <f>IF((_xlfn.SINGLE(LOAA)&gt;_xlfn.SINGLE(LOA)),_xlfn.SINGLE(LOAA),_xlfn.SINGLE(LOA)-_xlfn.SINGLE(FOC)-_xlfn.SINGLE(AOC))</f>
        <v>6</v>
      </c>
      <c r="W118" s="259">
        <f>IF(RL&gt;0,IF(RL&gt;'Look Ups'!Y$7,'Look Ups'!Y$8,('Look Ups'!Y$3*RL^3+'Look Ups'!Y$4*RL^2+'Look Ups'!Y$5*RL+'Look Ups'!Y$6)),0)</f>
        <v>0.28422800000000004</v>
      </c>
      <c r="X118" s="92">
        <v>517</v>
      </c>
      <c r="Y118" s="262">
        <f ca="1">IF(WDATE&lt;(TODAY()-'Look Ups'!$D$4*365),-WM*'Look Ups'!$D$5/100,0)</f>
        <v>0</v>
      </c>
      <c r="Z118" s="93"/>
      <c r="AA118" s="93"/>
      <c r="AB118" s="75"/>
      <c r="AC118" s="265">
        <f>WCD+NC*'Look Ups'!$AF$3</f>
        <v>0</v>
      </c>
      <c r="AD118" s="265">
        <f ca="1">IF(RL&lt;'Look Ups'!AM$3,'Look Ups'!AM$4,IF(RL&gt;'Look Ups'!AM$5,'Look Ups'!AM$6,(RL-'Look Ups'!AM$3)/('Look Ups'!AM$5-'Look Ups'!AM$3)*('Look Ups'!AM$6-'Look Ups'!AM$4)+'Look Ups'!AM$4))/100*WS</f>
        <v>155.1</v>
      </c>
      <c r="AE118" s="266">
        <f ca="1">WM+WP+WE</f>
        <v>517</v>
      </c>
      <c r="AF118" s="267">
        <f ca="1">_xlfn.SINGLE(WS)+IF(_xlfn.SINGLE(TCW)&gt;=_xlfn.SINGLE(CWA),_xlfn.SINGLE(CWA),_xlfn.SINGLE(TCW))</f>
        <v>517</v>
      </c>
      <c r="AG118" s="94" t="s">
        <v>145</v>
      </c>
      <c r="AH118" s="95" t="s">
        <v>146</v>
      </c>
      <c r="AI118" s="96" t="s">
        <v>147</v>
      </c>
      <c r="AJ118" s="218"/>
      <c r="AK118" s="273">
        <f>IF(C118="",0,VLOOKUP(AG118,'Look Ups'!$F$3:$G$6,2,0)*VLOOKUP(AH118,'Look Ups'!$I$3:$J$5,2,0)*VLOOKUP(AI118,'Look Ups'!$L$3:$M$7,2,0)*IF(AJ118="",1,VLOOKUP(AJ118,'Look Ups'!$O$3:$P$4,2,0)))</f>
        <v>1</v>
      </c>
      <c r="AL118" s="83">
        <v>9</v>
      </c>
      <c r="AM118" s="91">
        <v>8.82</v>
      </c>
      <c r="AN118" s="91">
        <v>2.57</v>
      </c>
      <c r="AO118" s="91">
        <v>1.05</v>
      </c>
      <c r="AP118" s="91">
        <v>0.31</v>
      </c>
      <c r="AQ118" s="91">
        <v>8.82</v>
      </c>
      <c r="AR118" s="91">
        <v>0.04</v>
      </c>
      <c r="AS118" s="91">
        <v>2.59</v>
      </c>
      <c r="AT118" s="91">
        <v>0.2</v>
      </c>
      <c r="AU118" s="91">
        <v>0.44</v>
      </c>
      <c r="AV118" s="91" t="s">
        <v>148</v>
      </c>
      <c r="AW118" s="97" t="s">
        <v>484</v>
      </c>
      <c r="AX118" s="256">
        <f>P+ER</f>
        <v>9.02</v>
      </c>
      <c r="AY118" s="256">
        <f>P*0.375*MC</f>
        <v>1.4553</v>
      </c>
      <c r="AZ118" s="275">
        <f>IF(C118="",0,(0.5*(_ML1*LPM)+0.5*(_ML1*HB)+0.66*(P*PR)+0.66*(_ML2*RDM)+0.66*(E*ER))*VLOOKUP(BATT,'Look Ups'!$U$3:$V$4,2,0))</f>
        <v>18.6693</v>
      </c>
      <c r="BA118" s="98"/>
      <c r="BB118" s="99"/>
      <c r="BC118" s="83">
        <v>8.2579999999999991</v>
      </c>
      <c r="BD118" s="91">
        <v>1.88</v>
      </c>
      <c r="BE118" s="91">
        <v>2.08</v>
      </c>
      <c r="BF118" s="91">
        <v>0.04</v>
      </c>
      <c r="BG118" s="91">
        <v>7.46</v>
      </c>
      <c r="BH118" s="91"/>
      <c r="BI118" s="91"/>
      <c r="BJ118" s="91">
        <v>-0.03</v>
      </c>
      <c r="BK118" s="91">
        <v>-0.11</v>
      </c>
      <c r="BL118" s="97"/>
      <c r="BM118" s="275">
        <f>(0.5*LL*LPG)+(0.5*_LG1*HG)+(0.66*LL*LLRG)+(0.66*FG*FRG)+(IF((HG&gt;0),(0.66*_LG2*LRG),(0.66*_LG1*LRG)))</f>
        <v>7.0701931999999985</v>
      </c>
      <c r="BN118" s="282"/>
      <c r="BO118" s="283"/>
      <c r="BP118" s="284"/>
      <c r="BQ118" s="284"/>
      <c r="BR118" s="283"/>
      <c r="BS118" s="284"/>
      <c r="BT118" s="284"/>
      <c r="BU118" s="280">
        <f>(0.5*LLS*LPS)+(0.66*LLS*LLRS)+(0.66*LS*LRS)+(0.66*FS*FRS)</f>
        <v>0</v>
      </c>
      <c r="BV118" s="285"/>
      <c r="BW118" s="283"/>
      <c r="BX118" s="283"/>
      <c r="BY118" s="283"/>
      <c r="BZ118" s="283"/>
      <c r="CA118" s="283"/>
      <c r="CB118" s="283"/>
      <c r="CC118" s="275">
        <f>(0.5*LLD*LPD)+(0.66*LLD*LLRD)+(0.66*LCHD*LRD)+(0.66*FD*FRD)</f>
        <v>0</v>
      </c>
      <c r="CD118" s="98">
        <v>5.58</v>
      </c>
      <c r="CE118" s="91">
        <v>8.94</v>
      </c>
      <c r="CF118" s="91">
        <v>9.89</v>
      </c>
      <c r="CG118" s="91">
        <v>5.0199999999999996</v>
      </c>
      <c r="CH118" s="266">
        <f>IF(SF&gt;0,SMG/SF*100,"")</f>
        <v>89.964157706093189</v>
      </c>
      <c r="CI118" s="283"/>
      <c r="CJ118" s="280">
        <f>SF*(_SL1+_SL2)/4+(SMG-SF/2)*(_SL1+_SL2)/3</f>
        <v>40.264816666666661</v>
      </c>
      <c r="CK118" s="83">
        <v>4.83</v>
      </c>
      <c r="CL118" s="91">
        <v>9.2799999999999994</v>
      </c>
      <c r="CM118" s="91">
        <v>8.5050000000000008</v>
      </c>
      <c r="CN118" s="91">
        <v>2.4470000000000001</v>
      </c>
      <c r="CO118" s="256">
        <f>IF(SCRF&gt;0,SCRMG/SCRF*100,"")</f>
        <v>50.662525879917183</v>
      </c>
      <c r="CP118" s="283"/>
      <c r="CQ118" s="256">
        <f>SCRF*(SCRL1+SCRL2)/4+(SCRMG-SCRF/2)*(SCRL1+SCRL2)/3</f>
        <v>21.665094166666666</v>
      </c>
      <c r="CR118" s="256" t="str">
        <f>IF(CO118&lt;'Look Ups'!$AC$4,"Yes","No")</f>
        <v>Yes</v>
      </c>
      <c r="CS118" s="267">
        <f>IF(CR118="Yes",MIN(150,('Look Ups'!$AC$4-PSCR)/('Look Ups'!$AC$4-'Look Ups'!$AC$3)*100),0)</f>
        <v>26.749482401656337</v>
      </c>
      <c r="CT118" s="83"/>
      <c r="CU118" s="91"/>
      <c r="CV118" s="91"/>
      <c r="CW118" s="91"/>
      <c r="CX118" s="256" t="str">
        <f>IF(USCRF&gt;0,USCRMG/USCRF*100,"")</f>
        <v/>
      </c>
      <c r="CY118" s="293">
        <f>IF(PUSCR&lt;'Look Ups'!$AC$4,MIN(150,('Look Ups'!$AC$4-PUSCR)/('Look Ups'!$AC$4-'Look Ups'!$AC$3)*100),0)</f>
        <v>0</v>
      </c>
      <c r="CZ118" s="275">
        <f>IF(PUSCR&lt;'Look Ups'!$AC$4,USCRF*(USCRL1+USCRL2)/4+(USCRMG-USCRF/2)*(USCRL1+USCRL2)/3,0)</f>
        <v>0</v>
      </c>
      <c r="DA118" s="294">
        <f>IF(ZVAL=1,1,IF(LPM&gt;0,0.64*((AM+MAM)/(E+(MC/2))^2)^0.3,0))</f>
        <v>1</v>
      </c>
      <c r="DB118" s="256">
        <f>0.65*((AM+MAM)*EFM)+0.35*((AM+MAM)*ZVAL)</f>
        <v>20.124600000000001</v>
      </c>
      <c r="DC118" s="256">
        <f>IF(ZVAL=1,1,IF(LPG&gt;0,0.72*(AG/(LPG^2))^0.3,0))</f>
        <v>1</v>
      </c>
      <c r="DD118" s="256">
        <f>AG*EFG</f>
        <v>7.0701931999999985</v>
      </c>
      <c r="DE118" s="256">
        <f>IF(AZ118&gt;0,'Look Ups'!$S$3,0)</f>
        <v>1</v>
      </c>
      <c r="DF118" s="256">
        <f>IF(LPS&gt;0,0.72*(AS/(LPS^2))^0.3,0)</f>
        <v>0</v>
      </c>
      <c r="DG118" s="256">
        <f>EFS*AS</f>
        <v>0</v>
      </c>
      <c r="DH118" s="256">
        <f>IF(LPD&gt;0,0.72*(AD/(LPD^2))^0.3,0)</f>
        <v>0</v>
      </c>
      <c r="DI118" s="280">
        <f>IF((AD-AG)&gt;0,0.3*(AD-AG)*EFD,0)</f>
        <v>0</v>
      </c>
      <c r="DJ118" s="295" t="str">
        <f>IF((SCRF=0),"-",IF(AND(MSASC&gt;AG,SCRMG&lt;(0.75*SCRF)),"valid","ERROR"))</f>
        <v>valid</v>
      </c>
      <c r="DK118" s="266" t="str">
        <f>IF((SF=0),"-",IF((SMG&lt;(0.75*SF)),"ERROR",IF(AND(MSASP&gt;MSASC,MSASP&gt;AG,MSASP&gt;=0.36*RSAM),"valid","Small")))</f>
        <v>valid</v>
      </c>
      <c r="DL118" s="267" t="str">
        <f>IF(C118="","",CONCATENATE("MG",IF(FLSCR="valid","Scr",""),IF(FLSPI="valid","SP","")))</f>
        <v>MGScrSP</v>
      </c>
      <c r="DM118" s="294">
        <f>RSAM+RSAG</f>
        <v>27.194793199999999</v>
      </c>
      <c r="DN118" s="256">
        <f>IF(MSASP&gt;0,'Look Ups'!$AI$4*(ZVAL*MSASP-RSAG),0)</f>
        <v>9.9583870399999981</v>
      </c>
      <c r="DO118" s="256">
        <f>IF(AND(MSASC&gt;0,(MSASC&gt;=0.36*RSAM)),('Look Ups'!$AI$3*(ZVAL*MSASC-RSAG)),(0))</f>
        <v>5.1082153383333333</v>
      </c>
      <c r="DP118" s="256">
        <f>IF(MSASP&gt;0,'Look Ups'!$AI$5*(ZVAL*MSASP-RSAG),0)</f>
        <v>9.2944945706666662</v>
      </c>
      <c r="DQ118" s="256">
        <f>IF(MSASC&gt;0,'Look Ups'!$AI$6*(MSASC-RSAG),0)</f>
        <v>1.0216430676666668</v>
      </c>
      <c r="DR118" s="280">
        <f>'Look Ups'!$AI$7*MAX(IF(MSAUSC&gt;0,EUSC/100*(MSAUSC-RSAG),0),IF(CR118="Yes",ELSC/100*(MSASC-RSAG),0))</f>
        <v>0.97601511640441774</v>
      </c>
      <c r="DS118" s="280">
        <f>0.36*RSAM</f>
        <v>7.2448560000000004</v>
      </c>
      <c r="DT118" s="296">
        <f>_xlfn.IFS(SPC="MG",RAMG+DS118,SPC="MGScr",RAMG+RASCO,SPC="MGSp",RAMG+RASPO,SPC="MGScrSp",RAMG+RASPSC+RASCR)+RAUSC+RSAST+RSAD+RSAMZ+RSA2M</f>
        <v>38.486945954737749</v>
      </c>
      <c r="DU118" s="63"/>
    </row>
    <row r="119" spans="1:125" ht="15.6" customHeight="1" x14ac:dyDescent="0.3">
      <c r="A119" s="4"/>
      <c r="B119" s="64"/>
      <c r="C119" s="64" t="s">
        <v>489</v>
      </c>
      <c r="D119" s="101" t="s">
        <v>490</v>
      </c>
      <c r="E119" s="86" t="s">
        <v>491</v>
      </c>
      <c r="F119" s="252">
        <f ca="1">IF(RW=0,0,ROUND(DLF*0.93*RL^LF*RSA^0.4/RW^0.325,3))</f>
        <v>0.90700000000000003</v>
      </c>
      <c r="G119" s="252" t="str">
        <f ca="1">IF(OR(FLSCR="ERROR",FLSPI="ERROR"),"No",IF(TODAY()-'Look Ups'!$D$4*365&gt;I119,"WP Applied","Yes"))</f>
        <v>WP Applied</v>
      </c>
      <c r="H119" s="253" t="str">
        <f>IF(SPC="","",CONCATENATE("Main-Genoa",IF(FLSCR="valid",IF(OR(CR119="Yes",MSAUSC&gt;0),"-Screacher (Upwind)","-Screacher"),""),IF(FLSPI="valid","-Spinnaker",""),IF(RSAMZ&gt;0,"-Mizzen",""),IF(RSA2M&gt;0,"-Second Main",""),IF(AS&gt;0,"-Staysail",""),IF(AD&gt;0,"-Drifter","")))</f>
        <v>Main-Genoa-Spinnaker</v>
      </c>
      <c r="I119" s="1">
        <v>40082</v>
      </c>
      <c r="J119" s="1">
        <v>44672</v>
      </c>
      <c r="K119" s="87" t="s">
        <v>206</v>
      </c>
      <c r="L119" s="87" t="s">
        <v>164</v>
      </c>
      <c r="M119" s="207" t="s">
        <v>492</v>
      </c>
      <c r="N119" s="97" t="s">
        <v>143</v>
      </c>
      <c r="O119" s="97"/>
      <c r="P119" s="102"/>
      <c r="Q119" s="90">
        <v>7.15</v>
      </c>
      <c r="R119" s="87"/>
      <c r="S119" s="256">
        <f>IF((LOAA&gt;LOA),0.025*LOAA,0.025*LOA)</f>
        <v>0.17875000000000002</v>
      </c>
      <c r="T119" s="91">
        <v>0</v>
      </c>
      <c r="U119" s="91">
        <v>0</v>
      </c>
      <c r="V119" s="258">
        <f>IF((_xlfn.SINGLE(LOAA)&gt;_xlfn.SINGLE(LOA)),_xlfn.SINGLE(LOAA),_xlfn.SINGLE(LOA)-_xlfn.SINGLE(FOC)-_xlfn.SINGLE(AOC))</f>
        <v>7.15</v>
      </c>
      <c r="W119" s="259">
        <f>IF(RL&gt;0,IF(RL&gt;'Look Ups'!Y$7,'Look Ups'!Y$8,('Look Ups'!Y$3*RL^3+'Look Ups'!Y$4*RL^2+'Look Ups'!Y$5*RL+'Look Ups'!Y$6)),0)</f>
        <v>0.29041585387500002</v>
      </c>
      <c r="X119" s="92">
        <v>1003</v>
      </c>
      <c r="Y119" s="262">
        <f ca="1">IF(WDATE&lt;(TODAY()-'Look Ups'!$D$4*365),-WM*'Look Ups'!$D$5/100,0)</f>
        <v>-150.44999999999999</v>
      </c>
      <c r="Z119" s="93"/>
      <c r="AA119" s="93"/>
      <c r="AB119" s="75"/>
      <c r="AC119" s="265">
        <f>WCD+NC*'Look Ups'!$AF$3</f>
        <v>0</v>
      </c>
      <c r="AD119" s="265">
        <f ca="1">IF(RL&lt;'Look Ups'!AM$3,'Look Ups'!AM$4,IF(RL&gt;'Look Ups'!AM$5,'Look Ups'!AM$6,(RL-'Look Ups'!AM$3)/('Look Ups'!AM$5-'Look Ups'!AM$3)*('Look Ups'!AM$6-'Look Ups'!AM$4)+'Look Ups'!AM$4))/100*WS</f>
        <v>241.81418181818179</v>
      </c>
      <c r="AE119" s="266">
        <f ca="1">WM+WP+WE</f>
        <v>852.55</v>
      </c>
      <c r="AF119" s="267">
        <f ca="1">_xlfn.SINGLE(WS)+IF(_xlfn.SINGLE(TCW)&gt;=_xlfn.SINGLE(CWA),_xlfn.SINGLE(CWA),_xlfn.SINGLE(TCW))</f>
        <v>852.55</v>
      </c>
      <c r="AG119" s="94" t="s">
        <v>145</v>
      </c>
      <c r="AH119" s="95" t="s">
        <v>146</v>
      </c>
      <c r="AI119" s="96" t="s">
        <v>147</v>
      </c>
      <c r="AJ119" s="218"/>
      <c r="AK119" s="273">
        <f>IF(C119="",0,VLOOKUP(AG119,'Look Ups'!$F$3:$G$6,2,0)*VLOOKUP(AH119,'Look Ups'!$I$3:$J$5,2,0)*VLOOKUP(AI119,'Look Ups'!$L$3:$M$7,2,0)*IF(AJ119="",1,VLOOKUP(AJ119,'Look Ups'!$O$3:$P$4,2,0)))</f>
        <v>1</v>
      </c>
      <c r="AL119" s="83">
        <v>10.045</v>
      </c>
      <c r="AM119" s="91">
        <v>9.82</v>
      </c>
      <c r="AN119" s="91">
        <v>3.16</v>
      </c>
      <c r="AO119" s="91">
        <v>1.48</v>
      </c>
      <c r="AP119" s="91">
        <v>0.28000000000000003</v>
      </c>
      <c r="AQ119" s="91">
        <v>10.71</v>
      </c>
      <c r="AR119" s="91">
        <v>0.125</v>
      </c>
      <c r="AS119" s="91">
        <v>3.16</v>
      </c>
      <c r="AT119" s="91">
        <v>0.04</v>
      </c>
      <c r="AU119" s="91"/>
      <c r="AV119" s="91" t="s">
        <v>148</v>
      </c>
      <c r="AW119" s="97"/>
      <c r="AX119" s="256">
        <f>P+ER</f>
        <v>10.75</v>
      </c>
      <c r="AY119" s="256">
        <f>P*0.375*MC</f>
        <v>0</v>
      </c>
      <c r="AZ119" s="275">
        <f>IF(C119="",0,(0.5*(_ML1*LPM)+0.5*(_ML1*HB)+0.66*(P*PR)+0.66*(_ML2*RDM)+0.66*(E*ER))*VLOOKUP(BATT,'Look Ups'!$U$3:$V$4,2,0))</f>
        <v>26.086135000000002</v>
      </c>
      <c r="BA119" s="98"/>
      <c r="BB119" s="99"/>
      <c r="BC119" s="83">
        <v>9.99</v>
      </c>
      <c r="BD119" s="91">
        <v>2.85</v>
      </c>
      <c r="BE119" s="91">
        <v>3.02</v>
      </c>
      <c r="BF119" s="91">
        <v>0.14499999999999999</v>
      </c>
      <c r="BG119" s="91">
        <v>9.4</v>
      </c>
      <c r="BH119" s="91"/>
      <c r="BI119" s="91"/>
      <c r="BJ119" s="91">
        <v>0.13</v>
      </c>
      <c r="BK119" s="91">
        <v>0</v>
      </c>
      <c r="BL119" s="97"/>
      <c r="BM119" s="275">
        <f>(0.5*LL*LPG)+(0.5*_LG1*HG)+(0.66*LL*LLRG)+(0.66*FG*FRG)+(IF((HG&gt;0),(0.66*_LG2*LRG),(0.66*_LG1*LRG)))</f>
        <v>15.331284000000002</v>
      </c>
      <c r="BN119" s="282"/>
      <c r="BO119" s="283"/>
      <c r="BP119" s="284"/>
      <c r="BQ119" s="284"/>
      <c r="BR119" s="283"/>
      <c r="BS119" s="284"/>
      <c r="BT119" s="284"/>
      <c r="BU119" s="280">
        <f>(0.5*LLS*LPS)+(0.66*LLS*LLRS)+(0.66*LS*LRS)+(0.66*FS*FRS)</f>
        <v>0</v>
      </c>
      <c r="BV119" s="285"/>
      <c r="BW119" s="283"/>
      <c r="BX119" s="283"/>
      <c r="BY119" s="283"/>
      <c r="BZ119" s="283"/>
      <c r="CA119" s="283"/>
      <c r="CB119" s="283"/>
      <c r="CC119" s="275">
        <f>(0.5*LLD*LPD)+(0.66*LLD*LLRD)+(0.66*LCHD*LRD)+(0.66*FD*FRD)</f>
        <v>0</v>
      </c>
      <c r="CD119" s="98">
        <v>7.1</v>
      </c>
      <c r="CE119" s="91">
        <v>11.75</v>
      </c>
      <c r="CF119" s="91">
        <v>9.25</v>
      </c>
      <c r="CG119" s="91">
        <v>6.5</v>
      </c>
      <c r="CH119" s="266">
        <f>IF(SF&gt;0,SMG/SF*100,"")</f>
        <v>91.549295774647888</v>
      </c>
      <c r="CI119" s="283"/>
      <c r="CJ119" s="280">
        <f>SF*(_SL1+_SL2)/4+(SMG-SF/2)*(_SL1+_SL2)/3</f>
        <v>57.924999999999997</v>
      </c>
      <c r="CK119" s="83"/>
      <c r="CL119" s="91"/>
      <c r="CM119" s="91"/>
      <c r="CN119" s="91"/>
      <c r="CO119" s="256" t="str">
        <f>IF(SCRF&gt;0,SCRMG/SCRF*100,"")</f>
        <v/>
      </c>
      <c r="CP119" s="286"/>
      <c r="CQ119" s="256">
        <f>SCRF*(SCRL1+SCRL2)/4+(SCRMG-SCRF/2)*(SCRL1+SCRL2)/3</f>
        <v>0</v>
      </c>
      <c r="CR119" s="256" t="str">
        <f>IF(CO119&lt;'Look Ups'!$AC$4,"Yes","No")</f>
        <v>No</v>
      </c>
      <c r="CS119" s="267">
        <f>IF(CR119="Yes",MIN(150,('Look Ups'!$AC$4-PSCR)/('Look Ups'!$AC$4-'Look Ups'!$AC$3)*100),0)</f>
        <v>0</v>
      </c>
      <c r="CT119" s="83"/>
      <c r="CU119" s="91"/>
      <c r="CV119" s="91"/>
      <c r="CW119" s="91"/>
      <c r="CX119" s="256" t="str">
        <f>IF(USCRF&gt;0,USCRMG/USCRF*100,"")</f>
        <v/>
      </c>
      <c r="CY119" s="293">
        <f>IF(PUSCR&lt;'Look Ups'!$AC$4,MIN(150,('Look Ups'!$AC$4-PUSCR)/('Look Ups'!$AC$4-'Look Ups'!$AC$3)*100),0)</f>
        <v>0</v>
      </c>
      <c r="CZ119" s="275">
        <f>IF(PUSCR&lt;'Look Ups'!$AC$4,USCRF*(USCRL1+USCRL2)/4+(USCRMG-USCRF/2)*(USCRL1+USCRL2)/3,0)</f>
        <v>0</v>
      </c>
      <c r="DA119" s="294">
        <f>IF(ZVAL=1,1,IF(LPM&gt;0,0.64*((AM+MAM)/(E+(MC/2))^2)^0.3,0))</f>
        <v>1</v>
      </c>
      <c r="DB119" s="256">
        <f>0.65*((AM+MAM)*EFM)+0.35*((AM+MAM)*ZVAL)</f>
        <v>26.086135000000002</v>
      </c>
      <c r="DC119" s="256">
        <f>IF(ZVAL=1,1,IF(LPG&gt;0,0.72*(AG/(LPG^2))^0.3,0))</f>
        <v>1</v>
      </c>
      <c r="DD119" s="256">
        <f>AG*EFG</f>
        <v>15.331284000000002</v>
      </c>
      <c r="DE119" s="256">
        <f>IF(AZ119&gt;0,'Look Ups'!$S$3,0)</f>
        <v>1</v>
      </c>
      <c r="DF119" s="256">
        <f>IF(LPS&gt;0,0.72*(AS/(LPS^2))^0.3,0)</f>
        <v>0</v>
      </c>
      <c r="DG119" s="256">
        <f>EFS*AS</f>
        <v>0</v>
      </c>
      <c r="DH119" s="256">
        <f>IF(LPD&gt;0,0.72*(AD/(LPD^2))^0.3,0)</f>
        <v>0</v>
      </c>
      <c r="DI119" s="280">
        <f>IF((AD-AG)&gt;0,0.3*(AD-AG)*EFD,0)</f>
        <v>0</v>
      </c>
      <c r="DJ119" s="295" t="str">
        <f>IF((SCRF=0),"-",IF(AND(MSASC&gt;AG,SCRMG&lt;(0.75*SCRF)),"valid","ERROR"))</f>
        <v>-</v>
      </c>
      <c r="DK119" s="266" t="str">
        <f>IF((SF=0),"-",IF((SMG&lt;(0.75*SF)),"ERROR",IF(AND(MSASP&gt;MSASC,MSASP&gt;AG,MSASP&gt;=0.36*RSAM),"valid","Small")))</f>
        <v>valid</v>
      </c>
      <c r="DL119" s="267" t="str">
        <f>IF(C119="","",CONCATENATE("MG",IF(FLSCR="valid","Scr",""),IF(FLSPI="valid","SP","")))</f>
        <v>MGSP</v>
      </c>
      <c r="DM119" s="294">
        <f>RSAM+RSAG</f>
        <v>41.417419000000002</v>
      </c>
      <c r="DN119" s="256">
        <f>IF(MSASP&gt;0,'Look Ups'!$AI$4*(ZVAL*MSASP-RSAG),0)</f>
        <v>12.778114799999997</v>
      </c>
      <c r="DO119" s="256">
        <f>IF(AND(MSASC&gt;0,(MSASC&gt;=0.36*RSAM)),('Look Ups'!$AI$3*(ZVAL*MSASC-RSAG)),(0))</f>
        <v>0</v>
      </c>
      <c r="DP119" s="256">
        <f>IF(MSASP&gt;0,'Look Ups'!$AI$5*(ZVAL*MSASP-RSAG),0)</f>
        <v>11.926240479999999</v>
      </c>
      <c r="DQ119" s="256">
        <f>IF(MSASC&gt;0,'Look Ups'!$AI$6*(MSASC-RSAG),0)</f>
        <v>0</v>
      </c>
      <c r="DR119" s="280">
        <f>'Look Ups'!$AI$7*MAX(IF(MSAUSC&gt;0,EUSC/100*(MSAUSC-RSAG),0),IF(CR119="Yes",ELSC/100*(MSASC-RSAG),0))</f>
        <v>0</v>
      </c>
      <c r="DS119" s="280">
        <f>0.36*RSAM</f>
        <v>9.391008600000001</v>
      </c>
      <c r="DT119" s="296">
        <f>_xlfn.IFS(SPC="MG",RAMG+DS119,SPC="MGScr",RAMG+RASCO,SPC="MGSp",RAMG+RASPO,SPC="MGScrSp",RAMG+RASPSC+RASCR)+RAUSC+RSAST+RSAD+RSAMZ+RSA2M</f>
        <v>54.1955338</v>
      </c>
      <c r="DU119" s="63"/>
    </row>
    <row r="120" spans="1:125" ht="15.6" customHeight="1" x14ac:dyDescent="0.3">
      <c r="A120" s="4"/>
      <c r="B120" s="84"/>
      <c r="C120" s="64" t="s">
        <v>493</v>
      </c>
      <c r="D120" s="85" t="s">
        <v>494</v>
      </c>
      <c r="E120" s="86" t="s">
        <v>495</v>
      </c>
      <c r="F120" s="252">
        <f ca="1">IF(RW=0,0,ROUND(DLF*0.93*RL^LF*RSA^0.4/RW^0.325,3))</f>
        <v>0.83399999999999996</v>
      </c>
      <c r="G120" s="252" t="str">
        <f ca="1">IF(OR(FLSCR="ERROR",FLSPI="ERROR"),"No",IF(TODAY()-'Look Ups'!$D$4*365&gt;I120,"WP Applied","Yes"))</f>
        <v>Yes</v>
      </c>
      <c r="H120" s="253" t="str">
        <f>IF(SPC="","",CONCATENATE("Main-Genoa",IF(FLSCR="valid",IF(OR(CR120="Yes",MSAUSC&gt;0),"-Screacher (Upwind)","-Screacher"),""),IF(FLSPI="valid","-Spinnaker",""),IF(RSAMZ&gt;0,"-Mizzen",""),IF(RSA2M&gt;0,"-Second Main",""),IF(AS&gt;0,"-Staysail",""),IF(AD&gt;0,"-Drifter","")))</f>
        <v>Main-Genoa-Spinnaker</v>
      </c>
      <c r="I120" s="1">
        <v>42584</v>
      </c>
      <c r="J120" s="1">
        <v>45143</v>
      </c>
      <c r="K120" s="87" t="s">
        <v>1127</v>
      </c>
      <c r="L120" s="87" t="s">
        <v>142</v>
      </c>
      <c r="M120" s="207"/>
      <c r="N120" s="88" t="s">
        <v>165</v>
      </c>
      <c r="O120" s="88"/>
      <c r="P120" s="100"/>
      <c r="Q120" s="90">
        <v>18.32</v>
      </c>
      <c r="R120" s="87"/>
      <c r="S120" s="256">
        <f>IF((LOAA&gt;LOA),0.025*LOAA,0.025*LOA)</f>
        <v>0.45800000000000002</v>
      </c>
      <c r="T120" s="91"/>
      <c r="U120" s="91"/>
      <c r="V120" s="258">
        <f>IF((_xlfn.SINGLE(LOAA)&gt;_xlfn.SINGLE(LOA)),_xlfn.SINGLE(LOAA),_xlfn.SINGLE(LOA)-_xlfn.SINGLE(FOC)-_xlfn.SINGLE(AOC))</f>
        <v>18.32</v>
      </c>
      <c r="W120" s="259">
        <f>IF(RL&gt;0,IF(RL&gt;'Look Ups'!Y$7,'Look Ups'!Y$8,('Look Ups'!Y$3*RL^3+'Look Ups'!Y$4*RL^2+'Look Ups'!Y$5*RL+'Look Ups'!Y$6)),0)</f>
        <v>0.3</v>
      </c>
      <c r="X120" s="92">
        <v>21540</v>
      </c>
      <c r="Y120" s="262">
        <f ca="1">IF(WDATE&lt;(TODAY()-'Look Ups'!$D$4*365),-WM*'Look Ups'!$D$5/100,0)</f>
        <v>0</v>
      </c>
      <c r="Z120" s="93"/>
      <c r="AA120" s="93"/>
      <c r="AB120" s="75"/>
      <c r="AC120" s="265">
        <f>WCD+NC*'Look Ups'!$AF$3</f>
        <v>0</v>
      </c>
      <c r="AD120" s="265">
        <f ca="1">IF(RL&lt;'Look Ups'!AM$3,'Look Ups'!AM$4,IF(RL&gt;'Look Ups'!AM$5,'Look Ups'!AM$6,(RL-'Look Ups'!AM$3)/('Look Ups'!AM$5-'Look Ups'!AM$3)*('Look Ups'!AM$6-'Look Ups'!AM$4)+'Look Ups'!AM$4))/100*WS</f>
        <v>2154</v>
      </c>
      <c r="AE120" s="266">
        <f ca="1">WM+WP+WE</f>
        <v>21540</v>
      </c>
      <c r="AF120" s="267">
        <f ca="1">_xlfn.SINGLE(WS)+IF(_xlfn.SINGLE(TCW)&gt;=_xlfn.SINGLE(CWA),_xlfn.SINGLE(CWA),_xlfn.SINGLE(TCW))</f>
        <v>21540</v>
      </c>
      <c r="AG120" s="94" t="s">
        <v>145</v>
      </c>
      <c r="AH120" s="95" t="s">
        <v>146</v>
      </c>
      <c r="AI120" s="96" t="s">
        <v>177</v>
      </c>
      <c r="AJ120" s="218"/>
      <c r="AK120" s="273">
        <f>IF(C120="",0,VLOOKUP(AG120,'Look Ups'!$F$3:$G$6,2,0)*VLOOKUP(AH120,'Look Ups'!$I$3:$J$5,2,0)*VLOOKUP(AI120,'Look Ups'!$L$3:$M$7,2,0)*IF(AJ120="",1,VLOOKUP(AJ120,'Look Ups'!$O$3:$P$4,2,0)))</f>
        <v>0.99</v>
      </c>
      <c r="AL120" s="83">
        <v>23.87</v>
      </c>
      <c r="AM120" s="91">
        <v>23.28</v>
      </c>
      <c r="AN120" s="91">
        <v>7.28</v>
      </c>
      <c r="AO120" s="91">
        <v>3.06</v>
      </c>
      <c r="AP120" s="91">
        <v>0.91</v>
      </c>
      <c r="AQ120" s="91">
        <v>23.06</v>
      </c>
      <c r="AR120" s="91">
        <v>0.27</v>
      </c>
      <c r="AS120" s="91">
        <v>7.58</v>
      </c>
      <c r="AT120" s="91">
        <v>0.08</v>
      </c>
      <c r="AU120" s="91">
        <v>1.75</v>
      </c>
      <c r="AV120" s="91" t="s">
        <v>148</v>
      </c>
      <c r="AW120" s="97"/>
      <c r="AX120" s="256">
        <f>P+ER</f>
        <v>23.139999999999997</v>
      </c>
      <c r="AY120" s="256">
        <f>P*0.375*MC</f>
        <v>15.133124999999998</v>
      </c>
      <c r="AZ120" s="275">
        <f>IF(C120="",0,(0.5*(_ML1*LPM)+0.5*(_ML1*HB)+0.66*(P*PR)+0.66*(_ML2*RDM)+0.66*(E*ER))*VLOOKUP(BATT,'Look Ups'!$U$3:$V$4,2,0))</f>
        <v>141.89938400000003</v>
      </c>
      <c r="BA120" s="98"/>
      <c r="BB120" s="99"/>
      <c r="BC120" s="121">
        <v>23.48</v>
      </c>
      <c r="BD120" s="115">
        <v>5.68</v>
      </c>
      <c r="BE120" s="115">
        <v>6.19</v>
      </c>
      <c r="BF120" s="115">
        <v>7.0000000000000007E-2</v>
      </c>
      <c r="BG120" s="115">
        <v>21.78</v>
      </c>
      <c r="BH120" s="115">
        <v>21.76</v>
      </c>
      <c r="BI120" s="115">
        <v>0.13</v>
      </c>
      <c r="BJ120" s="115">
        <v>-0.05</v>
      </c>
      <c r="BK120" s="115">
        <v>-0.05</v>
      </c>
      <c r="BL120" s="97"/>
      <c r="BM120" s="275">
        <f>(0.5*LL*LPG)+(0.5*_LG1*HG)+(0.66*LL*LLRG)+(0.66*FG*FRG)+(IF((HG&gt;0),(0.66*_LG2*LRG),(0.66*_LG1*LRG)))</f>
        <v>66.891958000000002</v>
      </c>
      <c r="BN120" s="282"/>
      <c r="BO120" s="283"/>
      <c r="BP120" s="284"/>
      <c r="BQ120" s="284"/>
      <c r="BR120" s="283"/>
      <c r="BS120" s="284"/>
      <c r="BT120" s="284"/>
      <c r="BU120" s="280">
        <f>(0.5*LLS*LPS)+(0.66*LLS*LLRS)+(0.66*LS*LRS)+(0.66*FS*FRS)</f>
        <v>0</v>
      </c>
      <c r="BV120" s="285"/>
      <c r="BW120" s="283"/>
      <c r="BX120" s="283"/>
      <c r="BY120" s="283"/>
      <c r="BZ120" s="283"/>
      <c r="CA120" s="283"/>
      <c r="CB120" s="283"/>
      <c r="CC120" s="275">
        <f>(0.5*LLD*LPD)+(0.66*LLD*LLRD)+(0.66*LCHD*LRD)+(0.66*FD*FRD)</f>
        <v>0</v>
      </c>
      <c r="CD120" s="98">
        <v>14.5</v>
      </c>
      <c r="CE120" s="91">
        <v>27.66</v>
      </c>
      <c r="CF120" s="91">
        <v>24.16</v>
      </c>
      <c r="CG120" s="91">
        <v>13.5</v>
      </c>
      <c r="CH120" s="266">
        <f>IF(SF&gt;0,SMG/SF*100,"")</f>
        <v>93.103448275862064</v>
      </c>
      <c r="CI120" s="283"/>
      <c r="CJ120" s="280">
        <f>SF*(_SL1+_SL2)/4+(SMG-SF/2)*(_SL1+_SL2)/3</f>
        <v>295.80583333333334</v>
      </c>
      <c r="CK120" s="83"/>
      <c r="CL120" s="91"/>
      <c r="CM120" s="91"/>
      <c r="CN120" s="91"/>
      <c r="CO120" s="256" t="str">
        <f>IF(SCRF&gt;0,SCRMG/SCRF*100,"")</f>
        <v/>
      </c>
      <c r="CP120" s="283"/>
      <c r="CQ120" s="256">
        <f>SCRF*(SCRL1+SCRL2)/4+(SCRMG-SCRF/2)*(SCRL1+SCRL2)/3</f>
        <v>0</v>
      </c>
      <c r="CR120" s="256" t="str">
        <f>IF(CO120&lt;'Look Ups'!$AC$4,"Yes","No")</f>
        <v>No</v>
      </c>
      <c r="CS120" s="267">
        <f>IF(CR120="Yes",MIN(150,('Look Ups'!$AC$4-PSCR)/('Look Ups'!$AC$4-'Look Ups'!$AC$3)*100),0)</f>
        <v>0</v>
      </c>
      <c r="CT120" s="83"/>
      <c r="CU120" s="91"/>
      <c r="CV120" s="91"/>
      <c r="CW120" s="91"/>
      <c r="CX120" s="256" t="str">
        <f>IF(USCRF&gt;0,USCRMG/USCRF*100,"")</f>
        <v/>
      </c>
      <c r="CY120" s="293">
        <f>IF(PUSCR&lt;'Look Ups'!$AC$4,MIN(150,('Look Ups'!$AC$4-PUSCR)/('Look Ups'!$AC$4-'Look Ups'!$AC$3)*100),0)</f>
        <v>0</v>
      </c>
      <c r="CZ120" s="275">
        <f>IF(PUSCR&lt;'Look Ups'!$AC$4,USCRF*(USCRL1+USCRL2)/4+(USCRMG-USCRF/2)*(USCRL1+USCRL2)/3,0)</f>
        <v>0</v>
      </c>
      <c r="DA120" s="294">
        <f>IF(ZVAL=1,1,IF(LPM&gt;0,0.64*((AM+MAM)/(E+(MC/2))^2)^0.3,0))</f>
        <v>1</v>
      </c>
      <c r="DB120" s="256">
        <f>0.65*((AM+MAM)*EFM)+0.35*((AM+MAM)*ZVAL)</f>
        <v>157.03250900000003</v>
      </c>
      <c r="DC120" s="256">
        <f>IF(ZVAL=1,1,IF(LPG&gt;0,0.72*(AG/(LPG^2))^0.3,0))</f>
        <v>1</v>
      </c>
      <c r="DD120" s="256">
        <f>AG*EFG</f>
        <v>66.891958000000002</v>
      </c>
      <c r="DE120" s="256">
        <f>IF(AZ120&gt;0,'Look Ups'!$S$3,0)</f>
        <v>1</v>
      </c>
      <c r="DF120" s="256">
        <f>IF(LPS&gt;0,0.72*(AS/(LPS^2))^0.3,0)</f>
        <v>0</v>
      </c>
      <c r="DG120" s="256">
        <f>EFS*AS</f>
        <v>0</v>
      </c>
      <c r="DH120" s="256">
        <f>IF(LPD&gt;0,0.72*(AD/(LPD^2))^0.3,0)</f>
        <v>0</v>
      </c>
      <c r="DI120" s="280">
        <f>IF((AD-AG)&gt;0,0.3*(AD-AG)*EFD,0)</f>
        <v>0</v>
      </c>
      <c r="DJ120" s="295" t="str">
        <f>IF((SCRF=0),"-",IF(AND(MSASC&gt;AG,SCRMG&lt;(0.75*SCRF)),"valid","ERROR"))</f>
        <v>-</v>
      </c>
      <c r="DK120" s="266" t="str">
        <f>IF((SF=0),"-",IF((SMG&lt;(0.75*SF)),"ERROR",IF(AND(MSASP&gt;MSASC,MSASP&gt;AG,MSASP&gt;=0.36*RSAM),"valid","Small")))</f>
        <v>valid</v>
      </c>
      <c r="DL120" s="267" t="str">
        <f>IF(C120="","",CONCATENATE("MG",IF(FLSCR="valid","Scr",""),IF(FLSPI="valid","SP","")))</f>
        <v>MGSP</v>
      </c>
      <c r="DM120" s="294">
        <f>RSAM+RSAG</f>
        <v>223.92446700000005</v>
      </c>
      <c r="DN120" s="256">
        <f>IF(MSASP&gt;0,'Look Ups'!$AI$4*(ZVAL*MSASP-RSAG),0)</f>
        <v>68.674162600000002</v>
      </c>
      <c r="DO120" s="256">
        <f>IF(AND(MSASC&gt;0,(MSASC&gt;=0.36*RSAM)),('Look Ups'!$AI$3*(ZVAL*MSASC-RSAG)),(0))</f>
        <v>0</v>
      </c>
      <c r="DP120" s="256">
        <f>IF(MSASP&gt;0,'Look Ups'!$AI$5*(ZVAL*MSASP-RSAG),0)</f>
        <v>64.095885093333351</v>
      </c>
      <c r="DQ120" s="256">
        <f>IF(MSASC&gt;0,'Look Ups'!$AI$6*(MSASC-RSAG),0)</f>
        <v>0</v>
      </c>
      <c r="DR120" s="280">
        <f>'Look Ups'!$AI$7*MAX(IF(MSAUSC&gt;0,EUSC/100*(MSAUSC-RSAG),0),IF(CR120="Yes",ELSC/100*(MSASC-RSAG),0))</f>
        <v>0</v>
      </c>
      <c r="DS120" s="280">
        <f>0.36*RSAM</f>
        <v>56.531703240000013</v>
      </c>
      <c r="DT120" s="296">
        <f>_xlfn.IFS(SPC="MG",RAMG+DS120,SPC="MGScr",RAMG+RASCO,SPC="MGSp",RAMG+RASPO,SPC="MGScrSp",RAMG+RASPSC+RASCR)+RAUSC+RSAST+RSAD+RSAMZ+RSA2M</f>
        <v>292.59862960000004</v>
      </c>
      <c r="DU120" s="63"/>
    </row>
    <row r="121" spans="1:125" ht="15.6" customHeight="1" x14ac:dyDescent="0.3">
      <c r="A121" s="4"/>
      <c r="B121" s="64"/>
      <c r="C121" s="64" t="s">
        <v>496</v>
      </c>
      <c r="D121" s="85" t="s">
        <v>497</v>
      </c>
      <c r="E121" s="86" t="s">
        <v>498</v>
      </c>
      <c r="F121" s="252">
        <f ca="1">IF(RW=0,0,ROUND(DLF*0.93*RL^LF*RSA^0.4/RW^0.325,3))</f>
        <v>0.83899999999999997</v>
      </c>
      <c r="G121" s="252" t="str">
        <f ca="1">IF(OR(FLSCR="ERROR",FLSPI="ERROR"),"No",IF(TODAY()-'Look Ups'!$D$4*365&gt;I121,"WP Applied","Yes"))</f>
        <v>Yes</v>
      </c>
      <c r="H121" s="253" t="str">
        <f>IF(SPC="","",CONCATENATE("Main-Genoa",IF(FLSCR="valid",IF(OR(CR121="Yes",MSAUSC&gt;0),"-Screacher (Upwind)","-Screacher"),""),IF(FLSPI="valid","-Spinnaker",""),IF(RSAMZ&gt;0,"-Mizzen",""),IF(RSA2M&gt;0,"-Second Main",""),IF(AS&gt;0,"-Staysail",""),IF(AD&gt;0,"-Drifter","")))</f>
        <v>Main-Genoa-Screacher (Upwind)</v>
      </c>
      <c r="I121" s="1">
        <v>43541</v>
      </c>
      <c r="J121" s="1">
        <v>43542</v>
      </c>
      <c r="K121" s="87" t="s">
        <v>206</v>
      </c>
      <c r="L121" s="87" t="s">
        <v>142</v>
      </c>
      <c r="M121" s="207"/>
      <c r="N121" s="88" t="s">
        <v>143</v>
      </c>
      <c r="O121" s="88" t="s">
        <v>144</v>
      </c>
      <c r="P121" s="89"/>
      <c r="Q121" s="90">
        <v>6</v>
      </c>
      <c r="R121" s="87"/>
      <c r="S121" s="256">
        <f>IF((LOAA&gt;LOA),0.025*LOAA,0.025*LOA)</f>
        <v>0.15000000000000002</v>
      </c>
      <c r="T121" s="91"/>
      <c r="U121" s="91"/>
      <c r="V121" s="258">
        <f>IF((_xlfn.SINGLE(LOAA)&gt;_xlfn.SINGLE(LOA)),_xlfn.SINGLE(LOAA),_xlfn.SINGLE(LOA)-_xlfn.SINGLE(FOC)-_xlfn.SINGLE(AOC))</f>
        <v>6</v>
      </c>
      <c r="W121" s="259">
        <f>IF(RL&gt;0,IF(RL&gt;'Look Ups'!Y$7,'Look Ups'!Y$8,('Look Ups'!Y$3*RL^3+'Look Ups'!Y$4*RL^2+'Look Ups'!Y$5*RL+'Look Ups'!Y$6)),0)</f>
        <v>0.28422800000000004</v>
      </c>
      <c r="X121" s="92">
        <v>485</v>
      </c>
      <c r="Y121" s="262">
        <f ca="1">IF(WDATE&lt;(TODAY()-'Look Ups'!$D$4*365),-WM*'Look Ups'!$D$5/100,0)</f>
        <v>0</v>
      </c>
      <c r="Z121" s="93"/>
      <c r="AA121" s="93"/>
      <c r="AB121" s="75"/>
      <c r="AC121" s="265">
        <f>WCD+NC*'Look Ups'!$AF$3</f>
        <v>0</v>
      </c>
      <c r="AD121" s="265">
        <f ca="1">IF(RL&lt;'Look Ups'!AM$3,'Look Ups'!AM$4,IF(RL&gt;'Look Ups'!AM$5,'Look Ups'!AM$6,(RL-'Look Ups'!AM$3)/('Look Ups'!AM$5-'Look Ups'!AM$3)*('Look Ups'!AM$6-'Look Ups'!AM$4)+'Look Ups'!AM$4))/100*WS</f>
        <v>145.5</v>
      </c>
      <c r="AE121" s="266">
        <f ca="1">WM+WP+WE</f>
        <v>485</v>
      </c>
      <c r="AF121" s="267">
        <f ca="1">_xlfn.SINGLE(WS)+IF(_xlfn.SINGLE(TCW)&gt;=_xlfn.SINGLE(CWA),_xlfn.SINGLE(CWA),_xlfn.SINGLE(TCW))</f>
        <v>485</v>
      </c>
      <c r="AG121" s="94" t="s">
        <v>145</v>
      </c>
      <c r="AH121" s="95" t="s">
        <v>146</v>
      </c>
      <c r="AI121" s="96" t="s">
        <v>147</v>
      </c>
      <c r="AJ121" s="218"/>
      <c r="AK121" s="273">
        <f>IF(C121="",0,VLOOKUP(AG121,'Look Ups'!$F$3:$G$6,2,0)*VLOOKUP(AH121,'Look Ups'!$I$3:$J$5,2,0)*VLOOKUP(AI121,'Look Ups'!$L$3:$M$7,2,0)*IF(AJ121="",1,VLOOKUP(AJ121,'Look Ups'!$O$3:$P$4,2,0)))</f>
        <v>1</v>
      </c>
      <c r="AL121" s="83">
        <v>8.77</v>
      </c>
      <c r="AM121" s="91">
        <v>8.6199999999999992</v>
      </c>
      <c r="AN121" s="91">
        <v>2.4350000000000001</v>
      </c>
      <c r="AO121" s="91">
        <v>0.84</v>
      </c>
      <c r="AP121" s="91">
        <v>0.28999999999999998</v>
      </c>
      <c r="AQ121" s="91">
        <v>8.58</v>
      </c>
      <c r="AR121" s="91">
        <v>8.5000000000000006E-2</v>
      </c>
      <c r="AS121" s="91">
        <v>2.5</v>
      </c>
      <c r="AT121" s="91">
        <v>0.05</v>
      </c>
      <c r="AU121" s="91">
        <v>0.46</v>
      </c>
      <c r="AV121" s="91" t="s">
        <v>148</v>
      </c>
      <c r="AW121" s="97" t="s">
        <v>318</v>
      </c>
      <c r="AX121" s="256">
        <f>P+ER</f>
        <v>8.6300000000000008</v>
      </c>
      <c r="AY121" s="256">
        <f>P*0.375*MC</f>
        <v>1.4800500000000001</v>
      </c>
      <c r="AZ121" s="275">
        <f>IF(C121="",0,(0.5*(_ML1*LPM)+0.5*(_ML1*HB)+0.66*(P*PR)+0.66*(_ML2*RDM)+0.66*(E*ER))*VLOOKUP(BATT,'Look Ups'!$U$3:$V$4,2,0))</f>
        <v>16.574581000000002</v>
      </c>
      <c r="BA121" s="98"/>
      <c r="BB121" s="99"/>
      <c r="BC121" s="83">
        <v>8.19</v>
      </c>
      <c r="BD121" s="91">
        <v>2.4500000000000002</v>
      </c>
      <c r="BE121" s="91">
        <v>2.17</v>
      </c>
      <c r="BF121" s="91">
        <v>8.5000000000000006E-2</v>
      </c>
      <c r="BG121" s="91">
        <v>7.72</v>
      </c>
      <c r="BH121" s="91"/>
      <c r="BI121" s="91"/>
      <c r="BJ121" s="91">
        <v>0</v>
      </c>
      <c r="BK121" s="91">
        <v>-0.01</v>
      </c>
      <c r="BL121" s="97"/>
      <c r="BM121" s="275">
        <f>(0.5*LL*LPG)+(0.5*_LG1*HG)+(0.66*LL*LLRG)+(0.66*FG*FRG)+(IF((HG&gt;0),(0.66*_LG2*LRG),(0.66*_LG1*LRG)))</f>
        <v>10.100432999999999</v>
      </c>
      <c r="BN121" s="282"/>
      <c r="BO121" s="283"/>
      <c r="BP121" s="284"/>
      <c r="BQ121" s="284"/>
      <c r="BR121" s="283"/>
      <c r="BS121" s="284"/>
      <c r="BT121" s="284"/>
      <c r="BU121" s="280">
        <f>(0.5*LLS*LPS)+(0.66*LLS*LLRS)+(0.66*LS*LRS)+(0.66*FS*FRS)</f>
        <v>0</v>
      </c>
      <c r="BV121" s="285"/>
      <c r="BW121" s="283"/>
      <c r="BX121" s="283"/>
      <c r="BY121" s="283"/>
      <c r="BZ121" s="283"/>
      <c r="CA121" s="283"/>
      <c r="CB121" s="283"/>
      <c r="CC121" s="275">
        <f>(0.5*LLD*LPD)+(0.66*LLD*LLRD)+(0.66*LCHD*LRD)+(0.66*FD*FRD)</f>
        <v>0</v>
      </c>
      <c r="CD121" s="98"/>
      <c r="CE121" s="91"/>
      <c r="CF121" s="91"/>
      <c r="CG121" s="91"/>
      <c r="CH121" s="266" t="str">
        <f>IF(SF&gt;0,SMG/SF*100,"")</f>
        <v/>
      </c>
      <c r="CI121" s="283"/>
      <c r="CJ121" s="280">
        <f>SF*(_SL1+_SL2)/4+(SMG-SF/2)*(_SL1+_SL2)/3</f>
        <v>0</v>
      </c>
      <c r="CK121" s="83">
        <v>5.4</v>
      </c>
      <c r="CL121" s="91">
        <v>8.81</v>
      </c>
      <c r="CM121" s="91">
        <v>7.98</v>
      </c>
      <c r="CN121" s="91">
        <v>2.79</v>
      </c>
      <c r="CO121" s="256">
        <f>IF(SCRF&gt;0,SCRMG/SCRF*100,"")</f>
        <v>51.666666666666657</v>
      </c>
      <c r="CP121" s="283"/>
      <c r="CQ121" s="256">
        <f>SCRF*(SCRL1+SCRL2)/4+(SCRMG-SCRF/2)*(SCRL1+SCRL2)/3</f>
        <v>23.170199999999998</v>
      </c>
      <c r="CR121" s="256" t="str">
        <f>IF(CO121&lt;'Look Ups'!$AC$4,"Yes","No")</f>
        <v>Yes</v>
      </c>
      <c r="CS121" s="267">
        <f>IF(CR121="Yes",MIN(150,('Look Ups'!$AC$4-PSCR)/('Look Ups'!$AC$4-'Look Ups'!$AC$3)*100),0)</f>
        <v>6.666666666666857</v>
      </c>
      <c r="CT121" s="83"/>
      <c r="CU121" s="91"/>
      <c r="CV121" s="91"/>
      <c r="CW121" s="91"/>
      <c r="CX121" s="256" t="str">
        <f>IF(USCRF&gt;0,USCRMG/USCRF*100,"")</f>
        <v/>
      </c>
      <c r="CY121" s="293">
        <f>IF(PUSCR&lt;'Look Ups'!$AC$4,MIN(150,('Look Ups'!$AC$4-PUSCR)/('Look Ups'!$AC$4-'Look Ups'!$AC$3)*100),0)</f>
        <v>0</v>
      </c>
      <c r="CZ121" s="275">
        <f>IF(PUSCR&lt;'Look Ups'!$AC$4,USCRF*(USCRL1+USCRL2)/4+(USCRMG-USCRF/2)*(USCRL1+USCRL2)/3,0)</f>
        <v>0</v>
      </c>
      <c r="DA121" s="294">
        <f>IF(ZVAL=1,1,IF(LPM&gt;0,0.64*((AM+MAM)/(E+(MC/2))^2)^0.3,0))</f>
        <v>1</v>
      </c>
      <c r="DB121" s="256">
        <f>0.65*((AM+MAM)*EFM)+0.35*((AM+MAM)*ZVAL)</f>
        <v>18.054631000000001</v>
      </c>
      <c r="DC121" s="256">
        <f>IF(ZVAL=1,1,IF(LPG&gt;0,0.72*(AG/(LPG^2))^0.3,0))</f>
        <v>1</v>
      </c>
      <c r="DD121" s="256">
        <f>AG*EFG</f>
        <v>10.100432999999999</v>
      </c>
      <c r="DE121" s="256">
        <f>IF(AZ121&gt;0,'Look Ups'!$S$3,0)</f>
        <v>1</v>
      </c>
      <c r="DF121" s="256">
        <f>IF(LPS&gt;0,0.72*(AS/(LPS^2))^0.3,0)</f>
        <v>0</v>
      </c>
      <c r="DG121" s="256">
        <f>EFS*AS</f>
        <v>0</v>
      </c>
      <c r="DH121" s="256">
        <f>IF(LPD&gt;0,0.72*(AD/(LPD^2))^0.3,0)</f>
        <v>0</v>
      </c>
      <c r="DI121" s="280">
        <f>IF((AD-AG)&gt;0,0.3*(AD-AG)*EFD,0)</f>
        <v>0</v>
      </c>
      <c r="DJ121" s="295" t="str">
        <f>IF((SCRF=0),"-",IF(AND(MSASC&gt;AG,SCRMG&lt;(0.75*SCRF)),"valid","ERROR"))</f>
        <v>valid</v>
      </c>
      <c r="DK121" s="266" t="str">
        <f>IF((SF=0),"-",IF((SMG&lt;(0.75*SF)),"ERROR",IF(AND(MSASP&gt;MSASC,MSASP&gt;AG,MSASP&gt;=0.36*RSAM),"valid","Small")))</f>
        <v>-</v>
      </c>
      <c r="DL121" s="267" t="str">
        <f>IF(C121="","",CONCATENATE("MG",IF(FLSCR="valid","Scr",""),IF(FLSPI="valid","SP","")))</f>
        <v>MGScr</v>
      </c>
      <c r="DM121" s="294">
        <f>RSAM+RSAG</f>
        <v>28.155063999999999</v>
      </c>
      <c r="DN121" s="256">
        <f>IF(MSASP&gt;0,'Look Ups'!$AI$4*(ZVAL*MSASP-RSAG),0)</f>
        <v>0</v>
      </c>
      <c r="DO121" s="256">
        <f>IF(AND(MSASC&gt;0,(MSASC&gt;=0.36*RSAM)),('Look Ups'!$AI$3*(ZVAL*MSASC-RSAG)),(0))</f>
        <v>4.5744184499999996</v>
      </c>
      <c r="DP121" s="256">
        <f>IF(MSASP&gt;0,'Look Ups'!$AI$5*(ZVAL*MSASP-RSAG),0)</f>
        <v>0</v>
      </c>
      <c r="DQ121" s="256">
        <f>IF(MSASC&gt;0,'Look Ups'!$AI$6*(MSASC-RSAG),0)</f>
        <v>0.91488369000000003</v>
      </c>
      <c r="DR121" s="280">
        <f>'Look Ups'!$AI$7*MAX(IF(MSAUSC&gt;0,EUSC/100*(MSAUSC-RSAG),0),IF(CR121="Yes",ELSC/100*(MSASC-RSAG),0))</f>
        <v>0.2178294500000062</v>
      </c>
      <c r="DS121" s="280">
        <f>0.36*RSAM</f>
        <v>6.4996671599999996</v>
      </c>
      <c r="DT121" s="296">
        <f>_xlfn.IFS(SPC="MG",RAMG+DS121,SPC="MGScr",RAMG+RASCO,SPC="MGSp",RAMG+RASPO,SPC="MGScrSp",RAMG+RASPSC+RASCR)+RAUSC+RSAST+RSAD+RSAMZ+RSA2M</f>
        <v>32.947311900000003</v>
      </c>
      <c r="DU121" s="63"/>
    </row>
    <row r="122" spans="1:125" ht="15.6" customHeight="1" x14ac:dyDescent="0.3">
      <c r="A122" s="27"/>
      <c r="B122" s="84"/>
      <c r="C122" s="64" t="s">
        <v>1147</v>
      </c>
      <c r="D122" s="85" t="s">
        <v>499</v>
      </c>
      <c r="E122" s="86" t="s">
        <v>500</v>
      </c>
      <c r="F122" s="252">
        <f ca="1">IF(RW=0,0,ROUND(DLF*0.93*RL^LF*RSA^0.4/RW^0.325,3))</f>
        <v>0.84399999999999997</v>
      </c>
      <c r="G122" s="252" t="str">
        <f ca="1">IF(OR(FLSCR="ERROR",FLSPI="ERROR"),"No",IF(TODAY()-'Look Ups'!$D$4*365&gt;I122,"WP Applied","Yes"))</f>
        <v>Yes</v>
      </c>
      <c r="H122" s="253" t="str">
        <f>IF(SPC="","",CONCATENATE("Main-Genoa",IF(FLSCR="valid",IF(OR(CR122="Yes",MSAUSC&gt;0),"-Screacher (Upwind)","-Screacher"),""),IF(FLSPI="valid","-Spinnaker",""),IF(RSAMZ&gt;0,"-Mizzen",""),IF(RSA2M&gt;0,"-Second Main",""),IF(AS&gt;0,"-Staysail",""),IF(AD&gt;0,"-Drifter","")))</f>
        <v>Main-Genoa-Screacher (Upwind)-Spinnaker</v>
      </c>
      <c r="I122" s="1">
        <v>43186</v>
      </c>
      <c r="J122" s="1">
        <v>43186</v>
      </c>
      <c r="K122" s="87" t="s">
        <v>182</v>
      </c>
      <c r="L122" s="87" t="s">
        <v>142</v>
      </c>
      <c r="M122" s="207"/>
      <c r="N122" s="88" t="s">
        <v>165</v>
      </c>
      <c r="O122" s="88"/>
      <c r="P122" s="89"/>
      <c r="Q122" s="90">
        <v>14.15</v>
      </c>
      <c r="R122" s="87"/>
      <c r="S122" s="256">
        <f>IF((LOAA&gt;LOA),0.025*LOAA,0.025*LOA)</f>
        <v>0.35375000000000001</v>
      </c>
      <c r="T122" s="91">
        <v>0.02</v>
      </c>
      <c r="U122" s="91"/>
      <c r="V122" s="258">
        <f>IF((_xlfn.SINGLE(LOAA)&gt;_xlfn.SINGLE(LOA)),_xlfn.SINGLE(LOAA),_xlfn.SINGLE(LOA)-_xlfn.SINGLE(FOC)-_xlfn.SINGLE(AOC))</f>
        <v>14.13</v>
      </c>
      <c r="W122" s="259">
        <f>IF(RL&gt;0,IF(RL&gt;'Look Ups'!Y$7,'Look Ups'!Y$8,('Look Ups'!Y$3*RL^3+'Look Ups'!Y$4*RL^2+'Look Ups'!Y$5*RL+'Look Ups'!Y$6)),0)</f>
        <v>0.3</v>
      </c>
      <c r="X122" s="92">
        <v>6284</v>
      </c>
      <c r="Y122" s="262">
        <f ca="1">IF(WDATE&lt;(TODAY()-'Look Ups'!$D$4*365),-WM*'Look Ups'!$D$5/100,0)</f>
        <v>0</v>
      </c>
      <c r="Z122" s="93"/>
      <c r="AA122" s="75"/>
      <c r="AB122" s="75"/>
      <c r="AC122" s="265">
        <f>WCD+NC*'Look Ups'!$AF$3</f>
        <v>0</v>
      </c>
      <c r="AD122" s="265">
        <f ca="1">IF(RL&lt;'Look Ups'!AM$3,'Look Ups'!AM$4,IF(RL&gt;'Look Ups'!AM$5,'Look Ups'!AM$6,(RL-'Look Ups'!AM$3)/('Look Ups'!AM$5-'Look Ups'!AM$3)*('Look Ups'!AM$6-'Look Ups'!AM$4)+'Look Ups'!AM$4))/100*WS</f>
        <v>628.40000000000009</v>
      </c>
      <c r="AE122" s="266">
        <f ca="1">WM+WP+WE</f>
        <v>6284</v>
      </c>
      <c r="AF122" s="267">
        <f ca="1">_xlfn.SINGLE(WS)+IF(_xlfn.SINGLE(TCW)&gt;=_xlfn.SINGLE(CWA),_xlfn.SINGLE(CWA),_xlfn.SINGLE(TCW))</f>
        <v>6284</v>
      </c>
      <c r="AG122" s="94" t="s">
        <v>145</v>
      </c>
      <c r="AH122" s="95" t="s">
        <v>146</v>
      </c>
      <c r="AI122" s="96" t="s">
        <v>177</v>
      </c>
      <c r="AJ122" s="218"/>
      <c r="AK122" s="273">
        <f>IF(C122="",0,VLOOKUP(AG122,'Look Ups'!$F$3:$G$6,2,0)*VLOOKUP(AH122,'Look Ups'!$I$3:$J$5,2,0)*VLOOKUP(AI122,'Look Ups'!$L$3:$M$7,2,0)*IF(AJ122="",1,VLOOKUP(AJ122,'Look Ups'!$O$3:$P$4,2,0)))</f>
        <v>0.99</v>
      </c>
      <c r="AL122" s="83">
        <v>15.24</v>
      </c>
      <c r="AM122" s="91">
        <v>14.66</v>
      </c>
      <c r="AN122" s="91">
        <v>6.06</v>
      </c>
      <c r="AO122" s="91">
        <v>1.89</v>
      </c>
      <c r="AP122" s="91">
        <v>0.67</v>
      </c>
      <c r="AQ122" s="91">
        <v>14.574999999999999</v>
      </c>
      <c r="AR122" s="91">
        <v>0.14000000000000001</v>
      </c>
      <c r="AS122" s="91">
        <v>6.41</v>
      </c>
      <c r="AT122" s="91">
        <v>0.105</v>
      </c>
      <c r="AU122" s="91"/>
      <c r="AV122" s="91" t="s">
        <v>148</v>
      </c>
      <c r="AW122" s="97"/>
      <c r="AX122" s="256">
        <f>P+ER</f>
        <v>14.68</v>
      </c>
      <c r="AY122" s="256">
        <f>P*0.375*MC</f>
        <v>0</v>
      </c>
      <c r="AZ122" s="275">
        <f>IF(C122="",0,(0.5*(_ML1*LPM)+0.5*(_ML1*HB)+0.66*(P*PR)+0.66*(_ML2*RDM)+0.66*(E*ER))*VLOOKUP(BATT,'Look Ups'!$U$3:$V$4,2,0))</f>
        <v>68.852595000000008</v>
      </c>
      <c r="BA122" s="98"/>
      <c r="BB122" s="99"/>
      <c r="BC122" s="83">
        <v>14.9</v>
      </c>
      <c r="BD122" s="91">
        <v>3.65</v>
      </c>
      <c r="BE122" s="91">
        <v>4.22</v>
      </c>
      <c r="BF122" s="91">
        <v>0.11</v>
      </c>
      <c r="BG122" s="91">
        <v>12.15</v>
      </c>
      <c r="BH122" s="91"/>
      <c r="BI122" s="91"/>
      <c r="BJ122" s="91">
        <v>-0.05</v>
      </c>
      <c r="BK122" s="91">
        <v>0.1</v>
      </c>
      <c r="BL122" s="97"/>
      <c r="BM122" s="275">
        <f>(0.5*LL*LPG)+(0.5*_LG1*HG)+(0.66*LL*LLRG)+(0.66*FG*FRG)+(IF((HG&gt;0),(0.66*_LG2*LRG),(0.66*_LG1*LRG)))</f>
        <v>28.081321999999997</v>
      </c>
      <c r="BN122" s="282"/>
      <c r="BO122" s="283"/>
      <c r="BP122" s="284"/>
      <c r="BQ122" s="284"/>
      <c r="BR122" s="283"/>
      <c r="BS122" s="284"/>
      <c r="BT122" s="284"/>
      <c r="BU122" s="280">
        <f>(0.5*LLS*LPS)+(0.66*LLS*LLRS)+(0.66*LS*LRS)+(0.66*FS*FRS)</f>
        <v>0</v>
      </c>
      <c r="BV122" s="285"/>
      <c r="BW122" s="283"/>
      <c r="BX122" s="283"/>
      <c r="BY122" s="283"/>
      <c r="BZ122" s="283"/>
      <c r="CA122" s="283"/>
      <c r="CB122" s="283"/>
      <c r="CC122" s="275">
        <f>(0.5*LLD*LPD)+(0.66*LLD*LLRD)+(0.66*LCHD*LRD)+(0.66*FD*FRD)</f>
        <v>0</v>
      </c>
      <c r="CD122" s="98">
        <v>11.32</v>
      </c>
      <c r="CE122" s="91">
        <v>17.37</v>
      </c>
      <c r="CF122" s="91">
        <v>15.63</v>
      </c>
      <c r="CG122" s="91">
        <v>9.94</v>
      </c>
      <c r="CH122" s="266">
        <f>IF(SF&gt;0,SMG/SF*100,"")</f>
        <v>87.809187279151928</v>
      </c>
      <c r="CI122" s="283"/>
      <c r="CJ122" s="280">
        <f>SF*(_SL1+_SL2)/4+(SMG-SF/2)*(_SL1+_SL2)/3</f>
        <v>140.47</v>
      </c>
      <c r="CK122" s="83">
        <v>9.75</v>
      </c>
      <c r="CL122" s="91">
        <v>15.4</v>
      </c>
      <c r="CM122" s="91">
        <v>13.15</v>
      </c>
      <c r="CN122" s="91">
        <v>4.92</v>
      </c>
      <c r="CO122" s="256">
        <f>IF(SCRF&gt;0,SCRMG/SCRF*100,"")</f>
        <v>50.46153846153846</v>
      </c>
      <c r="CP122" s="283"/>
      <c r="CQ122" s="256">
        <f>SCRF*(SCRL1+SCRL2)/4+(SCRMG-SCRF/2)*(SCRL1+SCRL2)/3</f>
        <v>70.018875000000008</v>
      </c>
      <c r="CR122" s="256" t="str">
        <f>IF(CO122&lt;'Look Ups'!$AC$4,"Yes","No")</f>
        <v>Yes</v>
      </c>
      <c r="CS122" s="267">
        <f>IF(CR122="Yes",MIN(150,('Look Ups'!$AC$4-PSCR)/('Look Ups'!$AC$4-'Look Ups'!$AC$3)*100),0)</f>
        <v>30.769230769230806</v>
      </c>
      <c r="CT122" s="83"/>
      <c r="CU122" s="91"/>
      <c r="CV122" s="91"/>
      <c r="CW122" s="91"/>
      <c r="CX122" s="256" t="str">
        <f>IF(USCRF&gt;0,USCRMG/USCRF*100,"")</f>
        <v/>
      </c>
      <c r="CY122" s="293">
        <f>IF(PUSCR&lt;'Look Ups'!$AC$4,MIN(150,('Look Ups'!$AC$4-PUSCR)/('Look Ups'!$AC$4-'Look Ups'!$AC$3)*100),0)</f>
        <v>0</v>
      </c>
      <c r="CZ122" s="275">
        <f>IF(PUSCR&lt;'Look Ups'!$AC$4,USCRF*(USCRL1+USCRL2)/4+(USCRMG-USCRF/2)*(USCRL1+USCRL2)/3,0)</f>
        <v>0</v>
      </c>
      <c r="DA122" s="294">
        <f>IF(ZVAL=1,1,IF(LPM&gt;0,0.64*((AM+MAM)/(E+(MC/2))^2)^0.3,0))</f>
        <v>1</v>
      </c>
      <c r="DB122" s="256">
        <f>0.65*((AM+MAM)*EFM)+0.35*((AM+MAM)*ZVAL)</f>
        <v>68.852595000000008</v>
      </c>
      <c r="DC122" s="256">
        <f>IF(ZVAL=1,1,IF(LPG&gt;0,0.72*(AG/(LPG^2))^0.3,0))</f>
        <v>1</v>
      </c>
      <c r="DD122" s="256">
        <f>AG*EFG</f>
        <v>28.081321999999997</v>
      </c>
      <c r="DE122" s="256">
        <f>IF(AZ122&gt;0,'Look Ups'!$S$3,0)</f>
        <v>1</v>
      </c>
      <c r="DF122" s="256">
        <f>IF(LPS&gt;0,0.72*(AS/(LPS^2))^0.3,0)</f>
        <v>0</v>
      </c>
      <c r="DG122" s="256">
        <f>EFS*AS</f>
        <v>0</v>
      </c>
      <c r="DH122" s="256">
        <f>IF(LPD&gt;0,0.72*(AD/(LPD^2))^0.3,0)</f>
        <v>0</v>
      </c>
      <c r="DI122" s="280">
        <f>IF((AD-AG)&gt;0,0.3*(AD-AG)*EFD,0)</f>
        <v>0</v>
      </c>
      <c r="DJ122" s="295" t="str">
        <f>IF((SCRF=0),"-",IF(AND(MSASC&gt;AG,SCRMG&lt;(0.75*SCRF)),"valid","ERROR"))</f>
        <v>valid</v>
      </c>
      <c r="DK122" s="266" t="str">
        <f>IF((SF=0),"-",IF((SMG&lt;(0.75*SF)),"ERROR",IF(AND(MSASP&gt;MSASC,MSASP&gt;AG,MSASP&gt;=0.36*RSAM),"valid","Small")))</f>
        <v>valid</v>
      </c>
      <c r="DL122" s="267" t="str">
        <f>IF(C122="","",CONCATENATE("MG",IF(FLSCR="valid","Scr",""),IF(FLSPI="valid","SP","")))</f>
        <v>MGScrSP</v>
      </c>
      <c r="DM122" s="294">
        <f>RSAM+RSAG</f>
        <v>96.933917000000008</v>
      </c>
      <c r="DN122" s="256">
        <f>IF(MSASP&gt;0,'Look Ups'!$AI$4*(ZVAL*MSASP-RSAG),0)</f>
        <v>33.716603399999997</v>
      </c>
      <c r="DO122" s="256">
        <f>IF(AND(MSASC&gt;0,(MSASC&gt;=0.36*RSAM)),('Look Ups'!$AI$3*(ZVAL*MSASC-RSAG)),(0))</f>
        <v>14.678143550000001</v>
      </c>
      <c r="DP122" s="256">
        <f>IF(MSASP&gt;0,'Look Ups'!$AI$5*(ZVAL*MSASP-RSAG),0)</f>
        <v>31.468829840000001</v>
      </c>
      <c r="DQ122" s="256">
        <f>IF(MSASC&gt;0,'Look Ups'!$AI$6*(MSASC-RSAG),0)</f>
        <v>2.9356287100000009</v>
      </c>
      <c r="DR122" s="280">
        <f>'Look Ups'!$AI$7*MAX(IF(MSAUSC&gt;0,EUSC/100*(MSAUSC-RSAG),0),IF(CR122="Yes",ELSC/100*(MSASC-RSAG),0))</f>
        <v>3.2259656153846197</v>
      </c>
      <c r="DS122" s="280">
        <f>0.36*RSAM</f>
        <v>24.786934200000001</v>
      </c>
      <c r="DT122" s="296">
        <f>_xlfn.IFS(SPC="MG",RAMG+DS122,SPC="MGScr",RAMG+RASCO,SPC="MGSp",RAMG+RASPO,SPC="MGScrSp",RAMG+RASPSC+RASCR)+RAUSC+RSAST+RSAD+RSAMZ+RSA2M</f>
        <v>134.56434116538463</v>
      </c>
      <c r="DU122" s="63"/>
    </row>
    <row r="123" spans="1:125" ht="15.6" customHeight="1" x14ac:dyDescent="0.3">
      <c r="A123" s="4"/>
      <c r="B123" s="64"/>
      <c r="C123" s="64" t="s">
        <v>1209</v>
      </c>
      <c r="D123" s="85" t="s">
        <v>279</v>
      </c>
      <c r="E123" s="86" t="s">
        <v>1210</v>
      </c>
      <c r="F123" s="252">
        <f ca="1">IF(RW=0,0,ROUND(DLF*0.93*RL^LF*RSA^0.4/RW^0.325,3))</f>
        <v>0.91200000000000003</v>
      </c>
      <c r="G123" s="252" t="str">
        <f ca="1">IF(OR(FLSCR="ERROR",FLSPI="ERROR"),"No",IF(TODAY()-'Look Ups'!$D$4*365&gt;I123,"WP Applied","Yes"))</f>
        <v>Yes</v>
      </c>
      <c r="H123" s="253" t="str">
        <f>IF(SPC="","",CONCATENATE("Main-Genoa",IF(FLSCR="valid",IF(OR(CR123="Yes",MSAUSC&gt;0),"-Screacher (Upwind)","-Screacher"),""),IF(FLSPI="valid","-Spinnaker",""),IF(RSAMZ&gt;0,"-Mizzen",""),IF(RSA2M&gt;0,"-Second Main",""),IF(AS&gt;0,"-Staysail",""),IF(AD&gt;0,"-Drifter","")))</f>
        <v>Main-Genoa-Screacher-Spinnaker</v>
      </c>
      <c r="I123" s="1">
        <v>42672</v>
      </c>
      <c r="J123" s="1">
        <v>45740</v>
      </c>
      <c r="K123" s="87" t="s">
        <v>186</v>
      </c>
      <c r="L123" s="87" t="s">
        <v>164</v>
      </c>
      <c r="M123" s="207"/>
      <c r="N123" s="88" t="s">
        <v>143</v>
      </c>
      <c r="O123" s="88" t="s">
        <v>154</v>
      </c>
      <c r="P123" s="100"/>
      <c r="Q123" s="90">
        <v>7.85</v>
      </c>
      <c r="R123" s="87"/>
      <c r="S123" s="256">
        <f>IF((LOAA&gt;LOA),0.025*LOAA,0.025*LOA)</f>
        <v>0.19625000000000001</v>
      </c>
      <c r="T123" s="91">
        <v>0</v>
      </c>
      <c r="U123" s="91"/>
      <c r="V123" s="258">
        <f>IF((_xlfn.SINGLE(LOAA)&gt;_xlfn.SINGLE(LOA)),_xlfn.SINGLE(LOAA),_xlfn.SINGLE(LOA)-_xlfn.SINGLE(FOC)-_xlfn.SINGLE(AOC))</f>
        <v>7.85</v>
      </c>
      <c r="W123" s="259">
        <f>IF(RL&gt;0,IF(RL&gt;'Look Ups'!Y$7,'Look Ups'!Y$8,('Look Ups'!Y$3*RL^3+'Look Ups'!Y$4*RL^2+'Look Ups'!Y$5*RL+'Look Ups'!Y$6)),0)</f>
        <v>0.29326680862499999</v>
      </c>
      <c r="X123" s="92">
        <v>1080</v>
      </c>
      <c r="Y123" s="262">
        <f ca="1">IF(WDATE&lt;(TODAY()-'Look Ups'!$D$4*365),-WM*'Look Ups'!$D$5/100,0)</f>
        <v>0</v>
      </c>
      <c r="Z123" s="93"/>
      <c r="AA123" s="93"/>
      <c r="AB123" s="75"/>
      <c r="AC123" s="265">
        <f>WCD+NC*'Look Ups'!$AF$3</f>
        <v>0</v>
      </c>
      <c r="AD123" s="265">
        <f ca="1">IF(RL&lt;'Look Ups'!AM$3,'Look Ups'!AM$4,IF(RL&gt;'Look Ups'!AM$5,'Look Ups'!AM$6,(RL-'Look Ups'!AM$3)/('Look Ups'!AM$5-'Look Ups'!AM$3)*('Look Ups'!AM$6-'Look Ups'!AM$4)+'Look Ups'!AM$4))/100*WS</f>
        <v>278.83636363636361</v>
      </c>
      <c r="AE123" s="266">
        <f ca="1">WM+WP+WE</f>
        <v>1080</v>
      </c>
      <c r="AF123" s="267">
        <f ca="1">_xlfn.SINGLE(WS)+IF(_xlfn.SINGLE(TCW)&gt;=_xlfn.SINGLE(CWA),_xlfn.SINGLE(CWA),_xlfn.SINGLE(TCW))</f>
        <v>1080</v>
      </c>
      <c r="AG123" s="94" t="s">
        <v>145</v>
      </c>
      <c r="AH123" s="95" t="s">
        <v>146</v>
      </c>
      <c r="AI123" s="96" t="s">
        <v>147</v>
      </c>
      <c r="AJ123" s="218"/>
      <c r="AK123" s="273">
        <f>IF(C123="",0,VLOOKUP(AG123,'Look Ups'!$F$3:$G$6,2,0)*VLOOKUP(AH123,'Look Ups'!$I$3:$J$5,2,0)*VLOOKUP(AI123,'Look Ups'!$L$3:$M$7,2,0)*IF(AJ123="",1,VLOOKUP(AJ123,'Look Ups'!$O$3:$P$4,2,0)))</f>
        <v>1</v>
      </c>
      <c r="AL123" s="83">
        <v>11.81</v>
      </c>
      <c r="AM123" s="91">
        <v>11.45</v>
      </c>
      <c r="AN123" s="91">
        <v>3.13</v>
      </c>
      <c r="AO123" s="91">
        <v>1.59</v>
      </c>
      <c r="AP123" s="91">
        <v>0.14000000000000001</v>
      </c>
      <c r="AQ123" s="91">
        <v>11.6</v>
      </c>
      <c r="AR123" s="91">
        <v>0.14000000000000001</v>
      </c>
      <c r="AS123" s="91">
        <v>3.15</v>
      </c>
      <c r="AT123" s="91">
        <v>0.08</v>
      </c>
      <c r="AU123" s="91">
        <v>0.46</v>
      </c>
      <c r="AV123" s="91" t="s">
        <v>148</v>
      </c>
      <c r="AW123" s="97"/>
      <c r="AX123" s="256">
        <f>P+ER</f>
        <v>11.68</v>
      </c>
      <c r="AY123" s="256">
        <f>P*0.375*MC</f>
        <v>2.0009999999999999</v>
      </c>
      <c r="AZ123" s="275">
        <f>IF(C123="",0,(0.5*(_ML1*LPM)+0.5*(_ML1*HB)+0.66*(P*PR)+0.66*(_ML2*RDM)+0.66*(E*ER))*VLOOKUP(BATT,'Look Ups'!$U$3:$V$4,2,0))</f>
        <v>30.167740000000002</v>
      </c>
      <c r="BA123" s="98"/>
      <c r="BB123" s="99"/>
      <c r="BC123" s="83">
        <v>8.89</v>
      </c>
      <c r="BD123" s="91">
        <v>2.81</v>
      </c>
      <c r="BE123" s="91">
        <v>3.2029999999999998</v>
      </c>
      <c r="BF123" s="91">
        <v>0.151</v>
      </c>
      <c r="BG123" s="91">
        <v>7.85</v>
      </c>
      <c r="BH123" s="91">
        <v>7.77</v>
      </c>
      <c r="BI123" s="91">
        <v>0.26</v>
      </c>
      <c r="BJ123" s="91">
        <v>0.12</v>
      </c>
      <c r="BK123" s="91">
        <v>0</v>
      </c>
      <c r="BL123" s="97"/>
      <c r="BM123" s="275">
        <f>(0.5*LL*LPG)+(0.5*_LG1*HG)+(0.66*LL*LLRG)+(0.66*FG*FRG)+(IF((HG&gt;0),(0.66*_LG2*LRG),(0.66*_LG1*LRG)))</f>
        <v>14.445544980000001</v>
      </c>
      <c r="BN123" s="282"/>
      <c r="BO123" s="283"/>
      <c r="BP123" s="284"/>
      <c r="BQ123" s="284"/>
      <c r="BR123" s="283"/>
      <c r="BS123" s="284"/>
      <c r="BT123" s="284"/>
      <c r="BU123" s="280">
        <f>(0.5*LLS*LPS)+(0.66*LLS*LLRS)+(0.66*LS*LRS)+(0.66*FS*FRS)</f>
        <v>0</v>
      </c>
      <c r="BV123" s="285"/>
      <c r="BW123" s="283"/>
      <c r="BX123" s="283"/>
      <c r="BY123" s="283"/>
      <c r="BZ123" s="283"/>
      <c r="CA123" s="283"/>
      <c r="CB123" s="283"/>
      <c r="CC123" s="275">
        <f>(0.5*LLD*LPD)+(0.66*LLD*LLRD)+(0.66*LCHD*LRD)+(0.66*FD*FRD)</f>
        <v>0</v>
      </c>
      <c r="CD123" s="98">
        <v>7.25</v>
      </c>
      <c r="CE123" s="91">
        <v>14.22</v>
      </c>
      <c r="CF123" s="91">
        <v>11.8</v>
      </c>
      <c r="CG123" s="91">
        <v>5.45</v>
      </c>
      <c r="CH123" s="266">
        <f>IF(SF&gt;0,SMG/SF*100,"")</f>
        <v>75.172413793103459</v>
      </c>
      <c r="CI123" s="283"/>
      <c r="CJ123" s="280">
        <f>SF*(_SL1+_SL2)/4+(SMG-SF/2)*(_SL1+_SL2)/3</f>
        <v>62.990083333333338</v>
      </c>
      <c r="CK123" s="83">
        <v>4.8499999999999996</v>
      </c>
      <c r="CL123" s="91">
        <v>11.72</v>
      </c>
      <c r="CM123" s="91">
        <v>10.42</v>
      </c>
      <c r="CN123" s="91">
        <v>2.84</v>
      </c>
      <c r="CO123" s="256">
        <f>IF(SCRF&gt;0,SCRMG/SCRF*100,"")</f>
        <v>58.55670103092784</v>
      </c>
      <c r="CP123" s="283"/>
      <c r="CQ123" s="256">
        <f>SCRF*(SCRL1+SCRL2)/4+(SCRMG-SCRF/2)*(SCRL1+SCRL2)/3</f>
        <v>29.907449999999997</v>
      </c>
      <c r="CR123" s="256" t="str">
        <f>IF(CO123&lt;'Look Ups'!$AC$4,"Yes","No")</f>
        <v>No</v>
      </c>
      <c r="CS123" s="267">
        <f>IF(CR123="Yes",MIN(150,('Look Ups'!$AC$4-PSCR)/('Look Ups'!$AC$4-'Look Ups'!$AC$3)*100),0)</f>
        <v>0</v>
      </c>
      <c r="CT123" s="83"/>
      <c r="CU123" s="91"/>
      <c r="CV123" s="91"/>
      <c r="CW123" s="91"/>
      <c r="CX123" s="256" t="str">
        <f>IF(USCRF&gt;0,USCRMG/USCRF*100,"")</f>
        <v/>
      </c>
      <c r="CY123" s="293">
        <f>IF(PUSCR&lt;'Look Ups'!$AC$4,MIN(150,('Look Ups'!$AC$4-PUSCR)/('Look Ups'!$AC$4-'Look Ups'!$AC$3)*100),0)</f>
        <v>0</v>
      </c>
      <c r="CZ123" s="275">
        <f>IF(PUSCR&lt;'Look Ups'!$AC$4,USCRF*(USCRL1+USCRL2)/4+(USCRMG-USCRF/2)*(USCRL1+USCRL2)/3,0)</f>
        <v>0</v>
      </c>
      <c r="DA123" s="294">
        <f>IF(ZVAL=1,1,IF(LPM&gt;0,0.64*((AM+MAM)/(E+(MC/2))^2)^0.3,0))</f>
        <v>1</v>
      </c>
      <c r="DB123" s="256">
        <f>0.65*((AM+MAM)*EFM)+0.35*((AM+MAM)*ZVAL)</f>
        <v>32.16874</v>
      </c>
      <c r="DC123" s="256">
        <f>IF(ZVAL=1,1,IF(LPG&gt;0,0.72*(AG/(LPG^2))^0.3,0))</f>
        <v>1</v>
      </c>
      <c r="DD123" s="256">
        <f>AG*EFG</f>
        <v>14.445544980000001</v>
      </c>
      <c r="DE123" s="256">
        <f>IF(AZ123&gt;0,'Look Ups'!$S$3,0)</f>
        <v>1</v>
      </c>
      <c r="DF123" s="256">
        <f>IF(LPS&gt;0,0.72*(AS/(LPS^2))^0.3,0)</f>
        <v>0</v>
      </c>
      <c r="DG123" s="256">
        <f>EFS*AS</f>
        <v>0</v>
      </c>
      <c r="DH123" s="256">
        <f>IF(LPD&gt;0,0.72*(AD/(LPD^2))^0.3,0)</f>
        <v>0</v>
      </c>
      <c r="DI123" s="280">
        <f>IF((AD-AG)&gt;0,0.3*(AD-AG)*EFD,0)</f>
        <v>0</v>
      </c>
      <c r="DJ123" s="295" t="str">
        <f>IF((SCRF=0),"-",IF(AND(MSASC&gt;AG,SCRMG&lt;(0.75*SCRF)),"valid","ERROR"))</f>
        <v>valid</v>
      </c>
      <c r="DK123" s="266" t="str">
        <f>IF((SF=0),"-",IF((SMG&lt;(0.75*SF)),"ERROR",IF(AND(MSASP&gt;MSASC,MSASP&gt;AG,MSASP&gt;=0.36*RSAM),"valid","Small")))</f>
        <v>valid</v>
      </c>
      <c r="DL123" s="267" t="str">
        <f>IF(C123="","",CONCATENATE("MG",IF(FLSCR="valid","Scr",""),IF(FLSPI="valid","SP","")))</f>
        <v>MGScrSP</v>
      </c>
      <c r="DM123" s="294">
        <f>RSAM+RSAG</f>
        <v>46.614284980000001</v>
      </c>
      <c r="DN123" s="256">
        <f>IF(MSASP&gt;0,'Look Ups'!$AI$4*(ZVAL*MSASP-RSAG),0)</f>
        <v>14.563361506</v>
      </c>
      <c r="DO123" s="256">
        <f>IF(AND(MSASC&gt;0,(MSASC&gt;=0.36*RSAM)),('Look Ups'!$AI$3*(ZVAL*MSASC-RSAG)),(0))</f>
        <v>5.4116667569999981</v>
      </c>
      <c r="DP123" s="256">
        <f>IF(MSASP&gt;0,'Look Ups'!$AI$5*(ZVAL*MSASP-RSAG),0)</f>
        <v>13.592470738933336</v>
      </c>
      <c r="DQ123" s="256">
        <f>IF(MSASC&gt;0,'Look Ups'!$AI$6*(MSASC-RSAG),0)</f>
        <v>1.0823333513999998</v>
      </c>
      <c r="DR123" s="280">
        <f>'Look Ups'!$AI$7*MAX(IF(MSAUSC&gt;0,EUSC/100*(MSAUSC-RSAG),0),IF(CR123="Yes",ELSC/100*(MSASC-RSAG),0))</f>
        <v>0</v>
      </c>
      <c r="DS123" s="280">
        <f>0.36*RSAM</f>
        <v>11.580746399999999</v>
      </c>
      <c r="DT123" s="296">
        <f>_xlfn.IFS(SPC="MG",RAMG+DS123,SPC="MGScr",RAMG+RASCO,SPC="MGSp",RAMG+RASPO,SPC="MGScrSp",RAMG+RASPSC+RASCR)+RAUSC+RSAST+RSAD+RSAMZ+RSA2M</f>
        <v>61.28908907033334</v>
      </c>
      <c r="DU123" s="63"/>
    </row>
    <row r="124" spans="1:125" ht="15.6" customHeight="1" x14ac:dyDescent="0.3">
      <c r="A124" s="4"/>
      <c r="B124" s="64"/>
      <c r="C124" s="64" t="s">
        <v>501</v>
      </c>
      <c r="D124" s="85" t="s">
        <v>502</v>
      </c>
      <c r="E124" s="86" t="s">
        <v>503</v>
      </c>
      <c r="F124" s="252">
        <f ca="1">IF(RW=0,0,ROUND(DLF*0.93*RL^LF*RSA^0.4/RW^0.325,3))</f>
        <v>0.90200000000000002</v>
      </c>
      <c r="G124" s="252" t="str">
        <f ca="1">IF(OR(FLSCR="ERROR",FLSPI="ERROR"),"No",IF(TODAY()-'Look Ups'!$D$4*365&gt;I124,"WP Applied","Yes"))</f>
        <v>Yes</v>
      </c>
      <c r="H124" s="253" t="str">
        <f>IF(SPC="","",CONCATENATE("Main-Genoa",IF(FLSCR="valid",IF(OR(CR124="Yes",MSAUSC&gt;0),"-Screacher (Upwind)","-Screacher"),""),IF(FLSPI="valid","-Spinnaker",""),IF(RSAMZ&gt;0,"-Mizzen",""),IF(RSA2M&gt;0,"-Second Main",""),IF(AS&gt;0,"-Staysail",""),IF(AD&gt;0,"-Drifter","")))</f>
        <v>Main-Genoa-Screacher (Upwind)-Spinnaker</v>
      </c>
      <c r="I124" s="1">
        <v>42436</v>
      </c>
      <c r="J124" s="1">
        <v>45005</v>
      </c>
      <c r="K124" s="87" t="s">
        <v>255</v>
      </c>
      <c r="L124" s="87" t="s">
        <v>164</v>
      </c>
      <c r="M124" s="207"/>
      <c r="N124" s="88" t="s">
        <v>143</v>
      </c>
      <c r="O124" s="88"/>
      <c r="P124" s="89"/>
      <c r="Q124" s="90">
        <v>12.81</v>
      </c>
      <c r="R124" s="87"/>
      <c r="S124" s="256">
        <f>IF((LOAA&gt;LOA),0.025*LOAA,0.025*LOA)</f>
        <v>0.32025000000000003</v>
      </c>
      <c r="T124" s="91">
        <v>0.02</v>
      </c>
      <c r="U124" s="91"/>
      <c r="V124" s="258">
        <f>IF((_xlfn.SINGLE(LOAA)&gt;_xlfn.SINGLE(LOA)),_xlfn.SINGLE(LOAA),_xlfn.SINGLE(LOA)-_xlfn.SINGLE(FOC)-_xlfn.SINGLE(AOC))</f>
        <v>12.790000000000001</v>
      </c>
      <c r="W124" s="259">
        <f>IF(RL&gt;0,IF(RL&gt;'Look Ups'!Y$7,'Look Ups'!Y$8,('Look Ups'!Y$3*RL^3+'Look Ups'!Y$4*RL^2+'Look Ups'!Y$5*RL+'Look Ups'!Y$6)),0)</f>
        <v>0.3</v>
      </c>
      <c r="X124" s="92">
        <v>5226</v>
      </c>
      <c r="Y124" s="262">
        <f ca="1">IF(WDATE&lt;(TODAY()-'Look Ups'!$D$4*365),-WM*'Look Ups'!$D$5/100,0)</f>
        <v>0</v>
      </c>
      <c r="Z124" s="93"/>
      <c r="AA124" s="93"/>
      <c r="AB124" s="75"/>
      <c r="AC124" s="265">
        <f>WCD+NC*'Look Ups'!$AF$3</f>
        <v>0</v>
      </c>
      <c r="AD124" s="265">
        <f ca="1">IF(RL&lt;'Look Ups'!AM$3,'Look Ups'!AM$4,IF(RL&gt;'Look Ups'!AM$5,'Look Ups'!AM$6,(RL-'Look Ups'!AM$3)/('Look Ups'!AM$5-'Look Ups'!AM$3)*('Look Ups'!AM$6-'Look Ups'!AM$4)+'Look Ups'!AM$4))/100*WS</f>
        <v>522.6</v>
      </c>
      <c r="AE124" s="266">
        <f ca="1">WM+WP+WE</f>
        <v>5226</v>
      </c>
      <c r="AF124" s="267">
        <f ca="1">_xlfn.SINGLE(WS)+IF(_xlfn.SINGLE(TCW)&gt;=_xlfn.SINGLE(CWA),_xlfn.SINGLE(CWA),_xlfn.SINGLE(TCW))</f>
        <v>5226</v>
      </c>
      <c r="AG124" s="94" t="s">
        <v>145</v>
      </c>
      <c r="AH124" s="95" t="s">
        <v>146</v>
      </c>
      <c r="AI124" s="96" t="s">
        <v>187</v>
      </c>
      <c r="AJ124" s="218"/>
      <c r="AK124" s="273">
        <f>IF(C124="",0,VLOOKUP(AG124,'Look Ups'!$F$3:$G$6,2,0)*VLOOKUP(AH124,'Look Ups'!$I$3:$J$5,2,0)*VLOOKUP(AI124,'Look Ups'!$L$3:$M$7,2,0)*IF(AJ124="",1,VLOOKUP(AJ124,'Look Ups'!$O$3:$P$4,2,0)))</f>
        <v>0.995</v>
      </c>
      <c r="AL124" s="83">
        <v>16.690000000000001</v>
      </c>
      <c r="AM124" s="91">
        <v>16.16</v>
      </c>
      <c r="AN124" s="91">
        <v>5.73</v>
      </c>
      <c r="AO124" s="91">
        <v>2.15</v>
      </c>
      <c r="AP124" s="91">
        <v>0.45</v>
      </c>
      <c r="AQ124" s="91">
        <v>16.760000000000002</v>
      </c>
      <c r="AR124" s="91">
        <v>0.18</v>
      </c>
      <c r="AS124" s="91">
        <v>5.82</v>
      </c>
      <c r="AT124" s="91">
        <v>0</v>
      </c>
      <c r="AU124" s="91"/>
      <c r="AV124" s="91" t="s">
        <v>148</v>
      </c>
      <c r="AW124" s="97"/>
      <c r="AX124" s="256">
        <f>P+ER</f>
        <v>16.760000000000002</v>
      </c>
      <c r="AY124" s="256">
        <f>P*0.375*MC</f>
        <v>0</v>
      </c>
      <c r="AZ124" s="275">
        <f>IF(C124="",0,(0.5*(_ML1*LPM)+0.5*(_ML1*HB)+0.66*(P*PR)+0.66*(_ML2*RDM)+0.66*(E*ER))*VLOOKUP(BATT,'Look Ups'!$U$3:$V$4,2,0))</f>
        <v>72.549208000000007</v>
      </c>
      <c r="BA124" s="98"/>
      <c r="BB124" s="99"/>
      <c r="BC124" s="83">
        <v>15.85</v>
      </c>
      <c r="BD124" s="91">
        <v>5.63</v>
      </c>
      <c r="BE124" s="91">
        <v>6.06</v>
      </c>
      <c r="BF124" s="91">
        <v>0.21</v>
      </c>
      <c r="BG124" s="91">
        <v>14.6</v>
      </c>
      <c r="BH124" s="91"/>
      <c r="BI124" s="91"/>
      <c r="BJ124" s="91">
        <v>-0.02</v>
      </c>
      <c r="BK124" s="91">
        <v>-0.09</v>
      </c>
      <c r="BL124" s="97"/>
      <c r="BM124" s="275">
        <f>(0.5*LL*LPG)+(0.5*_LG1*HG)+(0.66*LL*LLRG)+(0.66*FG*FRG)+(IF((HG&gt;0),(0.66*_LG2*LRG),(0.66*_LG1*LRG)))</f>
        <v>44.323456</v>
      </c>
      <c r="BN124" s="282"/>
      <c r="BO124" s="283"/>
      <c r="BP124" s="284"/>
      <c r="BQ124" s="284"/>
      <c r="BR124" s="283"/>
      <c r="BS124" s="284"/>
      <c r="BT124" s="284"/>
      <c r="BU124" s="280">
        <f>(0.5*LLS*LPS)+(0.66*LLS*LLRS)+(0.66*LS*LRS)+(0.66*FS*FRS)</f>
        <v>0</v>
      </c>
      <c r="BV124" s="285"/>
      <c r="BW124" s="283"/>
      <c r="BX124" s="283"/>
      <c r="BY124" s="283"/>
      <c r="BZ124" s="283"/>
      <c r="CA124" s="283"/>
      <c r="CB124" s="283"/>
      <c r="CC124" s="275">
        <f>(0.5*LLD*LPD)+(0.66*LLD*LLRD)+(0.66*LCHD*LRD)+(0.66*FD*FRD)</f>
        <v>0</v>
      </c>
      <c r="CD124" s="98">
        <v>9.6</v>
      </c>
      <c r="CE124" s="91">
        <v>17.77</v>
      </c>
      <c r="CF124" s="91">
        <v>15.05</v>
      </c>
      <c r="CG124" s="91">
        <v>9.5</v>
      </c>
      <c r="CH124" s="266">
        <f>IF(SF&gt;0,SMG/SF*100,"")</f>
        <v>98.958333333333343</v>
      </c>
      <c r="CI124" s="283"/>
      <c r="CJ124" s="280">
        <f>SF*(_SL1+_SL2)/4+(SMG-SF/2)*(_SL1+_SL2)/3</f>
        <v>130.18600000000001</v>
      </c>
      <c r="CK124" s="83">
        <v>9.99</v>
      </c>
      <c r="CL124" s="91">
        <v>16.48</v>
      </c>
      <c r="CM124" s="91">
        <v>15.25</v>
      </c>
      <c r="CN124" s="91">
        <v>5.07</v>
      </c>
      <c r="CO124" s="256">
        <f>IF(SCRF&gt;0,SCRMG/SCRF*100,"")</f>
        <v>50.750750750750754</v>
      </c>
      <c r="CP124" s="283"/>
      <c r="CQ124" s="256">
        <f>SCRF*(SCRL1+SCRL2)/4+(SCRMG-SCRF/2)*(SCRL1+SCRL2)/3</f>
        <v>80.038925000000006</v>
      </c>
      <c r="CR124" s="256" t="str">
        <f>IF(CO124&lt;'Look Ups'!$AC$4,"Yes","No")</f>
        <v>Yes</v>
      </c>
      <c r="CS124" s="267">
        <f>IF(CR124="Yes",MIN(150,('Look Ups'!$AC$4-PSCR)/('Look Ups'!$AC$4-'Look Ups'!$AC$3)*100),0)</f>
        <v>24.984984984984919</v>
      </c>
      <c r="CT124" s="83"/>
      <c r="CU124" s="91"/>
      <c r="CV124" s="91"/>
      <c r="CW124" s="91"/>
      <c r="CX124" s="256" t="str">
        <f>IF(USCRF&gt;0,USCRMG/USCRF*100,"")</f>
        <v/>
      </c>
      <c r="CY124" s="293">
        <f>IF(PUSCR&lt;'Look Ups'!$AC$4,MIN(150,('Look Ups'!$AC$4-PUSCR)/('Look Ups'!$AC$4-'Look Ups'!$AC$3)*100),0)</f>
        <v>0</v>
      </c>
      <c r="CZ124" s="275">
        <f>IF(PUSCR&lt;'Look Ups'!$AC$4,USCRF*(USCRL1+USCRL2)/4+(USCRMG-USCRF/2)*(USCRL1+USCRL2)/3,0)</f>
        <v>0</v>
      </c>
      <c r="DA124" s="294">
        <f>IF(ZVAL=1,1,IF(LPM&gt;0,0.64*((AM+MAM)/(E+(MC/2))^2)^0.3,0))</f>
        <v>1</v>
      </c>
      <c r="DB124" s="256">
        <f>0.65*((AM+MAM)*EFM)+0.35*((AM+MAM)*ZVAL)</f>
        <v>72.549208000000007</v>
      </c>
      <c r="DC124" s="256">
        <f>IF(ZVAL=1,1,IF(LPG&gt;0,0.72*(AG/(LPG^2))^0.3,0))</f>
        <v>1</v>
      </c>
      <c r="DD124" s="256">
        <f>AG*EFG</f>
        <v>44.323456</v>
      </c>
      <c r="DE124" s="256">
        <f>IF(AZ124&gt;0,'Look Ups'!$S$3,0)</f>
        <v>1</v>
      </c>
      <c r="DF124" s="256">
        <f>IF(LPS&gt;0,0.72*(AS/(LPS^2))^0.3,0)</f>
        <v>0</v>
      </c>
      <c r="DG124" s="256">
        <f>EFS*AS</f>
        <v>0</v>
      </c>
      <c r="DH124" s="256">
        <f>IF(LPD&gt;0,0.72*(AD/(LPD^2))^0.3,0)</f>
        <v>0</v>
      </c>
      <c r="DI124" s="280">
        <f>IF((AD-AG)&gt;0,0.3*(AD-AG)*EFD,0)</f>
        <v>0</v>
      </c>
      <c r="DJ124" s="295" t="str">
        <f>IF((SCRF=0),"-",IF(AND(MSASC&gt;AG,SCRMG&lt;(0.75*SCRF)),"valid","ERROR"))</f>
        <v>valid</v>
      </c>
      <c r="DK124" s="266" t="str">
        <f>IF((SF=0),"-",IF((SMG&lt;(0.75*SF)),"ERROR",IF(AND(MSASP&gt;MSASC,MSASP&gt;AG,MSASP&gt;=0.36*RSAM),"valid","Small")))</f>
        <v>valid</v>
      </c>
      <c r="DL124" s="267" t="str">
        <f>IF(C124="","",CONCATENATE("MG",IF(FLSCR="valid","Scr",""),IF(FLSPI="valid","SP","")))</f>
        <v>MGScrSP</v>
      </c>
      <c r="DM124" s="294">
        <f>RSAM+RSAG</f>
        <v>116.87266400000001</v>
      </c>
      <c r="DN124" s="256">
        <f>IF(MSASP&gt;0,'Look Ups'!$AI$4*(ZVAL*MSASP-RSAG),0)</f>
        <v>25.758763200000004</v>
      </c>
      <c r="DO124" s="256">
        <f>IF(AND(MSASC&gt;0,(MSASC&gt;=0.36*RSAM)),('Look Ups'!$AI$3*(ZVAL*MSASC-RSAG)),(0))</f>
        <v>12.500414150000001</v>
      </c>
      <c r="DP124" s="256">
        <f>IF(MSASP&gt;0,'Look Ups'!$AI$5*(ZVAL*MSASP-RSAG),0)</f>
        <v>24.041512320000006</v>
      </c>
      <c r="DQ124" s="256">
        <f>IF(MSASC&gt;0,'Look Ups'!$AI$6*(MSASC-RSAG),0)</f>
        <v>2.5000828300000006</v>
      </c>
      <c r="DR124" s="280">
        <f>'Look Ups'!$AI$7*MAX(IF(MSAUSC&gt;0,EUSC/100*(MSAUSC-RSAG),0),IF(CR124="Yes",ELSC/100*(MSASC-RSAG),0))</f>
        <v>2.2308761417417364</v>
      </c>
      <c r="DS124" s="280">
        <f>0.36*RSAM</f>
        <v>26.117714880000001</v>
      </c>
      <c r="DT124" s="296">
        <f>_xlfn.IFS(SPC="MG",RAMG+DS124,SPC="MGScr",RAMG+RASCO,SPC="MGSp",RAMG+RASPO,SPC="MGScrSp",RAMG+RASPSC+RASCR)+RAUSC+RSAST+RSAD+RSAMZ+RSA2M</f>
        <v>145.64513529174175</v>
      </c>
      <c r="DU124" s="63"/>
    </row>
    <row r="125" spans="1:125" ht="15.6" customHeight="1" x14ac:dyDescent="0.3">
      <c r="A125" s="4"/>
      <c r="B125" s="64"/>
      <c r="C125" s="64" t="s">
        <v>504</v>
      </c>
      <c r="D125" s="101" t="s">
        <v>330</v>
      </c>
      <c r="E125" s="86" t="s">
        <v>505</v>
      </c>
      <c r="F125" s="252">
        <f ca="1">IF(RW=0,0,ROUND(DLF*0.93*RL^LF*RSA^0.4/RW^0.325,3))</f>
        <v>0.871</v>
      </c>
      <c r="G125" s="252" t="str">
        <f ca="1">IF(OR(FLSCR="ERROR",FLSPI="ERROR"),"No",IF(TODAY()-'Look Ups'!$D$4*365&gt;I125,"WP Applied","Yes"))</f>
        <v>Yes</v>
      </c>
      <c r="H125" s="253" t="str">
        <f>IF(SPC="","",CONCATENATE("Main-Genoa",IF(FLSCR="valid",IF(OR(CR125="Yes",MSAUSC&gt;0),"-Screacher (Upwind)","-Screacher"),""),IF(FLSPI="valid","-Spinnaker",""),IF(RSAMZ&gt;0,"-Mizzen",""),IF(RSA2M&gt;0,"-Second Main",""),IF(AS&gt;0,"-Staysail",""),IF(AD&gt;0,"-Drifter","")))</f>
        <v>Main-Genoa-Spinnaker</v>
      </c>
      <c r="I125" s="1" t="s">
        <v>1152</v>
      </c>
      <c r="J125" s="1">
        <v>45314</v>
      </c>
      <c r="K125" s="87" t="s">
        <v>222</v>
      </c>
      <c r="L125" s="87" t="s">
        <v>176</v>
      </c>
      <c r="M125" s="207"/>
      <c r="N125" s="88" t="s">
        <v>143</v>
      </c>
      <c r="O125" s="88" t="s">
        <v>154</v>
      </c>
      <c r="P125" s="102"/>
      <c r="Q125" s="90">
        <v>9.42</v>
      </c>
      <c r="R125" s="87"/>
      <c r="S125" s="256">
        <f>IF((LOAA&gt;LOA),0.025*LOAA,0.025*LOA)</f>
        <v>0.23550000000000001</v>
      </c>
      <c r="T125" s="91">
        <v>0.05</v>
      </c>
      <c r="U125" s="91">
        <v>0</v>
      </c>
      <c r="V125" s="258">
        <f>IF((_xlfn.SINGLE(LOAA)&gt;_xlfn.SINGLE(LOA)),_xlfn.SINGLE(LOAA),_xlfn.SINGLE(LOA)-_xlfn.SINGLE(FOC)-_xlfn.SINGLE(AOC))</f>
        <v>9.3699999999999992</v>
      </c>
      <c r="W125" s="259">
        <f>IF(RL&gt;0,IF(RL&gt;'Look Ups'!Y$7,'Look Ups'!Y$8,('Look Ups'!Y$3*RL^3+'Look Ups'!Y$4*RL^2+'Look Ups'!Y$5*RL+'Look Ups'!Y$6)),0)</f>
        <v>0.29744701944900004</v>
      </c>
      <c r="X125" s="92">
        <v>2050</v>
      </c>
      <c r="Y125" s="262">
        <f ca="1">IF(WDATE&lt;(TODAY()-'Look Ups'!$D$4*365),-WM*'Look Ups'!$D$5/100,0)</f>
        <v>0</v>
      </c>
      <c r="Z125" s="93"/>
      <c r="AA125" s="93"/>
      <c r="AB125" s="75"/>
      <c r="AC125" s="265">
        <f>WCD+NC*'Look Ups'!$AF$3</f>
        <v>0</v>
      </c>
      <c r="AD125" s="265">
        <f ca="1">IF(RL&lt;'Look Ups'!AM$3,'Look Ups'!AM$4,IF(RL&gt;'Look Ups'!AM$5,'Look Ups'!AM$6,(RL-'Look Ups'!AM$3)/('Look Ups'!AM$5-'Look Ups'!AM$3)*('Look Ups'!AM$6-'Look Ups'!AM$4)+'Look Ups'!AM$4))/100*WS</f>
        <v>415.9636363636364</v>
      </c>
      <c r="AE125" s="266">
        <f ca="1">WM+WP+WE</f>
        <v>2050</v>
      </c>
      <c r="AF125" s="267">
        <f ca="1">_xlfn.SINGLE(WS)+IF(_xlfn.SINGLE(TCW)&gt;=_xlfn.SINGLE(CWA),_xlfn.SINGLE(CWA),_xlfn.SINGLE(TCW))</f>
        <v>2050</v>
      </c>
      <c r="AG125" s="94" t="s">
        <v>145</v>
      </c>
      <c r="AH125" s="95" t="s">
        <v>146</v>
      </c>
      <c r="AI125" s="96" t="s">
        <v>147</v>
      </c>
      <c r="AJ125" s="218"/>
      <c r="AK125" s="273">
        <f>IF(C125="",0,VLOOKUP(AG125,'Look Ups'!$F$3:$G$6,2,0)*VLOOKUP(AH125,'Look Ups'!$I$3:$J$5,2,0)*VLOOKUP(AI125,'Look Ups'!$L$3:$M$7,2,0)*IF(AJ125="",1,VLOOKUP(AJ125,'Look Ups'!$O$3:$P$4,2,0)))</f>
        <v>1</v>
      </c>
      <c r="AL125" s="83">
        <v>11.71</v>
      </c>
      <c r="AM125" s="91">
        <v>11.33</v>
      </c>
      <c r="AN125" s="91">
        <v>4.07</v>
      </c>
      <c r="AO125" s="91">
        <v>1.31</v>
      </c>
      <c r="AP125" s="91">
        <v>0.44</v>
      </c>
      <c r="AQ125" s="91">
        <v>11.085000000000001</v>
      </c>
      <c r="AR125" s="91">
        <v>7.0000000000000007E-2</v>
      </c>
      <c r="AS125" s="91">
        <v>4.29</v>
      </c>
      <c r="AT125" s="91">
        <v>0</v>
      </c>
      <c r="AU125" s="91">
        <v>0</v>
      </c>
      <c r="AV125" s="91" t="s">
        <v>148</v>
      </c>
      <c r="AW125" s="97" t="s">
        <v>506</v>
      </c>
      <c r="AX125" s="256">
        <f>P+ER</f>
        <v>11.085000000000001</v>
      </c>
      <c r="AY125" s="256">
        <f>P*0.375*MC</f>
        <v>0</v>
      </c>
      <c r="AZ125" s="275">
        <f>IF(C125="",0,(0.5*(_ML1*LPM)+0.5*(_ML1*HB)+0.66*(P*PR)+0.66*(_ML2*RDM)+0.66*(E*ER))*VLOOKUP(BATT,'Look Ups'!$U$3:$V$4,2,0))</f>
        <v>35.302259000000006</v>
      </c>
      <c r="BA125" s="98"/>
      <c r="BB125" s="99"/>
      <c r="BC125" s="83">
        <v>10.74</v>
      </c>
      <c r="BD125" s="91">
        <v>4.49</v>
      </c>
      <c r="BE125" s="91">
        <v>4.95</v>
      </c>
      <c r="BF125" s="91">
        <v>1.4999999999999999E-2</v>
      </c>
      <c r="BG125" s="91">
        <v>9.6300000000000008</v>
      </c>
      <c r="BH125" s="91"/>
      <c r="BI125" s="91"/>
      <c r="BJ125" s="91">
        <v>-0.16500000000000001</v>
      </c>
      <c r="BK125" s="91">
        <v>0.03</v>
      </c>
      <c r="BL125" s="97" t="s">
        <v>507</v>
      </c>
      <c r="BM125" s="275">
        <f>(0.5*LL*LPG)+(0.5*_LG1*HG)+(0.66*LL*LLRG)+(0.66*FG*FRG)+(IF((HG&gt;0),(0.66*_LG2*LRG),(0.66*_LG1*LRG)))</f>
        <v>23.324249999999999</v>
      </c>
      <c r="BN125" s="282"/>
      <c r="BO125" s="283"/>
      <c r="BP125" s="284"/>
      <c r="BQ125" s="284"/>
      <c r="BR125" s="283"/>
      <c r="BS125" s="284"/>
      <c r="BT125" s="284"/>
      <c r="BU125" s="280">
        <f>(0.5*LLS*LPS)+(0.66*LLS*LLRS)+(0.66*LS*LRS)+(0.66*FS*FRS)</f>
        <v>0</v>
      </c>
      <c r="BV125" s="285"/>
      <c r="BW125" s="283"/>
      <c r="BX125" s="283"/>
      <c r="BY125" s="283"/>
      <c r="BZ125" s="283"/>
      <c r="CA125" s="283"/>
      <c r="CB125" s="283"/>
      <c r="CC125" s="275">
        <f>(0.5*LLD*LPD)+(0.66*LLD*LLRD)+(0.66*LCHD*LRD)+(0.66*FD*FRD)</f>
        <v>0</v>
      </c>
      <c r="CD125" s="98">
        <v>8.3699999999999992</v>
      </c>
      <c r="CE125" s="91">
        <v>13.8</v>
      </c>
      <c r="CF125" s="91">
        <v>12.45</v>
      </c>
      <c r="CG125" s="91">
        <v>8.32</v>
      </c>
      <c r="CH125" s="266">
        <f>IF(SF&gt;0,SMG/SF*100,"")</f>
        <v>99.402628434886509</v>
      </c>
      <c r="CI125" s="283"/>
      <c r="CJ125" s="280">
        <f>SF*(_SL1+_SL2)/4+(SMG-SF/2)*(_SL1+_SL2)/3</f>
        <v>91.109375</v>
      </c>
      <c r="CK125" s="83"/>
      <c r="CL125" s="91"/>
      <c r="CM125" s="91"/>
      <c r="CN125" s="91"/>
      <c r="CO125" s="256" t="str">
        <f>IF(SCRF&gt;0,SCRMG/SCRF*100,"")</f>
        <v/>
      </c>
      <c r="CP125" s="286"/>
      <c r="CQ125" s="256">
        <f>SCRF*(SCRL1+SCRL2)/4+(SCRMG-SCRF/2)*(SCRL1+SCRL2)/3</f>
        <v>0</v>
      </c>
      <c r="CR125" s="256" t="str">
        <f>IF(CO125&lt;'Look Ups'!$AC$4,"Yes","No")</f>
        <v>No</v>
      </c>
      <c r="CS125" s="267">
        <f>IF(CR125="Yes",MIN(150,('Look Ups'!$AC$4-PSCR)/('Look Ups'!$AC$4-'Look Ups'!$AC$3)*100),0)</f>
        <v>0</v>
      </c>
      <c r="CT125" s="83"/>
      <c r="CU125" s="91"/>
      <c r="CV125" s="91"/>
      <c r="CW125" s="91"/>
      <c r="CX125" s="256" t="str">
        <f>IF(USCRF&gt;0,USCRMG/USCRF*100,"")</f>
        <v/>
      </c>
      <c r="CY125" s="293">
        <f>IF(PUSCR&lt;'Look Ups'!$AC$4,MIN(150,('Look Ups'!$AC$4-PUSCR)/('Look Ups'!$AC$4-'Look Ups'!$AC$3)*100),0)</f>
        <v>0</v>
      </c>
      <c r="CZ125" s="275">
        <f>IF(PUSCR&lt;'Look Ups'!$AC$4,USCRF*(USCRL1+USCRL2)/4+(USCRMG-USCRF/2)*(USCRL1+USCRL2)/3,0)</f>
        <v>0</v>
      </c>
      <c r="DA125" s="294">
        <f>IF(ZVAL=1,1,IF(LPM&gt;0,0.64*((AM+MAM)/(E+(MC/2))^2)^0.3,0))</f>
        <v>1</v>
      </c>
      <c r="DB125" s="256">
        <f>0.65*((AM+MAM)*EFM)+0.35*((AM+MAM)*ZVAL)</f>
        <v>35.302259000000006</v>
      </c>
      <c r="DC125" s="256">
        <f>IF(ZVAL=1,1,IF(LPG&gt;0,0.72*(AG/(LPG^2))^0.3,0))</f>
        <v>1</v>
      </c>
      <c r="DD125" s="256">
        <f>AG*EFG</f>
        <v>23.324249999999999</v>
      </c>
      <c r="DE125" s="256">
        <f>IF(AZ125&gt;0,'Look Ups'!$S$3,0)</f>
        <v>1</v>
      </c>
      <c r="DF125" s="256">
        <f>IF(LPS&gt;0,0.72*(AS/(LPS^2))^0.3,0)</f>
        <v>0</v>
      </c>
      <c r="DG125" s="256">
        <f>EFS*AS</f>
        <v>0</v>
      </c>
      <c r="DH125" s="256">
        <f>IF(LPD&gt;0,0.72*(AD/(LPD^2))^0.3,0)</f>
        <v>0</v>
      </c>
      <c r="DI125" s="280">
        <f>IF((AD-AG)&gt;0,0.3*(AD-AG)*EFD,0)</f>
        <v>0</v>
      </c>
      <c r="DJ125" s="295" t="str">
        <f>IF((SCRF=0),"-",IF(AND(MSASC&gt;AG,SCRMG&lt;(0.75*SCRF)),"valid","ERROR"))</f>
        <v>-</v>
      </c>
      <c r="DK125" s="266" t="str">
        <f>IF((SF=0),"-",IF((SMG&lt;(0.75*SF)),"ERROR",IF(AND(MSASP&gt;MSASC,MSASP&gt;AG,MSASP&gt;=0.36*RSAM),"valid","Small")))</f>
        <v>valid</v>
      </c>
      <c r="DL125" s="267" t="str">
        <f>IF(C125="","",CONCATENATE("MG",IF(FLSCR="valid","Scr",""),IF(FLSPI="valid","SP","")))</f>
        <v>MGSP</v>
      </c>
      <c r="DM125" s="294">
        <f>RSAM+RSAG</f>
        <v>58.626509000000006</v>
      </c>
      <c r="DN125" s="256">
        <f>IF(MSASP&gt;0,'Look Ups'!$AI$4*(ZVAL*MSASP-RSAG),0)</f>
        <v>20.335537499999997</v>
      </c>
      <c r="DO125" s="256">
        <f>IF(AND(MSASC&gt;0,(MSASC&gt;=0.36*RSAM)),('Look Ups'!$AI$3*(ZVAL*MSASC-RSAG)),(0))</f>
        <v>0</v>
      </c>
      <c r="DP125" s="256">
        <f>IF(MSASP&gt;0,'Look Ups'!$AI$5*(ZVAL*MSASP-RSAG),0)</f>
        <v>18.979835000000001</v>
      </c>
      <c r="DQ125" s="256">
        <f>IF(MSASC&gt;0,'Look Ups'!$AI$6*(MSASC-RSAG),0)</f>
        <v>0</v>
      </c>
      <c r="DR125" s="280">
        <f>'Look Ups'!$AI$7*MAX(IF(MSAUSC&gt;0,EUSC/100*(MSAUSC-RSAG),0),IF(CR125="Yes",ELSC/100*(MSASC-RSAG),0))</f>
        <v>0</v>
      </c>
      <c r="DS125" s="280">
        <f>0.36*RSAM</f>
        <v>12.708813240000001</v>
      </c>
      <c r="DT125" s="296">
        <f>_xlfn.IFS(SPC="MG",RAMG+DS125,SPC="MGScr",RAMG+RASCO,SPC="MGSp",RAMG+RASPO,SPC="MGScrSp",RAMG+RASPSC+RASCR)+RAUSC+RSAST+RSAD+RSAMZ+RSA2M</f>
        <v>78.9620465</v>
      </c>
      <c r="DU125" s="63"/>
    </row>
    <row r="126" spans="1:125" ht="15.6" customHeight="1" x14ac:dyDescent="0.3">
      <c r="A126" s="4"/>
      <c r="B126" s="64"/>
      <c r="C126" s="64" t="s">
        <v>508</v>
      </c>
      <c r="D126" s="85" t="s">
        <v>509</v>
      </c>
      <c r="E126" s="86" t="s">
        <v>510</v>
      </c>
      <c r="F126" s="252">
        <f ca="1">IF(RW=0,0,ROUND(DLF*0.93*RL^LF*RSA^0.4/RW^0.325,3))</f>
        <v>0.92500000000000004</v>
      </c>
      <c r="G126" s="252" t="str">
        <f ca="1">IF(OR(FLSCR="ERROR",FLSPI="ERROR"),"No",IF(TODAY()-'Look Ups'!$D$4*365&gt;I126,"WP Applied","Yes"))</f>
        <v>WP Applied</v>
      </c>
      <c r="H126" s="253" t="str">
        <f>IF(SPC="","",CONCATENATE("Main-Genoa",IF(FLSCR="valid",IF(OR(CR126="Yes",MSAUSC&gt;0),"-Screacher (Upwind)","-Screacher"),""),IF(FLSPI="valid","-Spinnaker",""),IF(RSAMZ&gt;0,"-Mizzen",""),IF(RSA2M&gt;0,"-Second Main",""),IF(AS&gt;0,"-Staysail",""),IF(AD&gt;0,"-Drifter","")))</f>
        <v>Main-Genoa-Screacher (Upwind)-Spinnaker</v>
      </c>
      <c r="I126" s="1">
        <v>42068</v>
      </c>
      <c r="J126" s="1">
        <v>43475</v>
      </c>
      <c r="K126" s="87" t="s">
        <v>479</v>
      </c>
      <c r="L126" s="87" t="s">
        <v>142</v>
      </c>
      <c r="M126" s="207"/>
      <c r="N126" s="88" t="s">
        <v>143</v>
      </c>
      <c r="O126" s="88" t="s">
        <v>144</v>
      </c>
      <c r="P126" s="100"/>
      <c r="Q126" s="90">
        <v>6.95</v>
      </c>
      <c r="R126" s="87">
        <v>6.9550000000000001</v>
      </c>
      <c r="S126" s="256">
        <f>IF((LOAA&gt;LOA),0.025*LOAA,0.025*LOA)</f>
        <v>0.173875</v>
      </c>
      <c r="T126" s="91">
        <v>0</v>
      </c>
      <c r="U126" s="91">
        <v>0</v>
      </c>
      <c r="V126" s="258">
        <f>IF((_xlfn.SINGLE(LOAA)&gt;_xlfn.SINGLE(LOA)),_xlfn.SINGLE(LOAA),_xlfn.SINGLE(LOA)-_xlfn.SINGLE(FOC)-_xlfn.SINGLE(AOC))</f>
        <v>6.9550000000000001</v>
      </c>
      <c r="W126" s="259">
        <f>IF(RL&gt;0,IF(RL&gt;'Look Ups'!Y$7,'Look Ups'!Y$8,('Look Ups'!Y$3*RL^3+'Look Ups'!Y$4*RL^2+'Look Ups'!Y$5*RL+'Look Ups'!Y$6)),0)</f>
        <v>0.289503770317875</v>
      </c>
      <c r="X126" s="92">
        <v>820</v>
      </c>
      <c r="Y126" s="262">
        <f ca="1">IF(WDATE&lt;(TODAY()-'Look Ups'!$D$4*365),-WM*'Look Ups'!$D$5/100,0)</f>
        <v>-123</v>
      </c>
      <c r="Z126" s="93"/>
      <c r="AA126" s="93"/>
      <c r="AB126" s="75"/>
      <c r="AC126" s="265">
        <f>WCD+NC*'Look Ups'!$AF$3</f>
        <v>0</v>
      </c>
      <c r="AD126" s="265">
        <f ca="1">IF(RL&lt;'Look Ups'!AM$3,'Look Ups'!AM$4,IF(RL&gt;'Look Ups'!AM$5,'Look Ups'!AM$6,(RL-'Look Ups'!AM$3)/('Look Ups'!AM$5-'Look Ups'!AM$3)*('Look Ups'!AM$6-'Look Ups'!AM$4)+'Look Ups'!AM$4))/100*WS</f>
        <v>202.63690909090909</v>
      </c>
      <c r="AE126" s="266">
        <f ca="1">WM+WP+WE</f>
        <v>697</v>
      </c>
      <c r="AF126" s="267">
        <f ca="1">_xlfn.SINGLE(WS)+IF(_xlfn.SINGLE(TCW)&gt;=_xlfn.SINGLE(CWA),_xlfn.SINGLE(CWA),_xlfn.SINGLE(TCW))</f>
        <v>697</v>
      </c>
      <c r="AG126" s="94" t="s">
        <v>145</v>
      </c>
      <c r="AH126" s="95" t="s">
        <v>146</v>
      </c>
      <c r="AI126" s="96" t="s">
        <v>147</v>
      </c>
      <c r="AJ126" s="218"/>
      <c r="AK126" s="273">
        <f>IF(C126="",0,VLOOKUP(AG126,'Look Ups'!$F$3:$G$6,2,0)*VLOOKUP(AH126,'Look Ups'!$I$3:$J$5,2,0)*VLOOKUP(AI126,'Look Ups'!$L$3:$M$7,2,0)*IF(AJ126="",1,VLOOKUP(AJ126,'Look Ups'!$O$3:$P$4,2,0)))</f>
        <v>1</v>
      </c>
      <c r="AL126" s="83">
        <v>11.9</v>
      </c>
      <c r="AM126" s="91">
        <v>11.78</v>
      </c>
      <c r="AN126" s="91">
        <v>2.67</v>
      </c>
      <c r="AO126" s="91">
        <v>1.08</v>
      </c>
      <c r="AP126" s="91">
        <v>0.35</v>
      </c>
      <c r="AQ126" s="91">
        <v>11.33</v>
      </c>
      <c r="AR126" s="91">
        <v>0.11</v>
      </c>
      <c r="AS126" s="91">
        <v>2.8</v>
      </c>
      <c r="AT126" s="91">
        <v>3.5000000000000003E-2</v>
      </c>
      <c r="AU126" s="91">
        <v>0.65</v>
      </c>
      <c r="AV126" s="91" t="s">
        <v>148</v>
      </c>
      <c r="AW126" s="97">
        <v>1</v>
      </c>
      <c r="AX126" s="256">
        <f>P+ER</f>
        <v>11.365</v>
      </c>
      <c r="AY126" s="256">
        <f>P*0.375*MC</f>
        <v>2.7616875000000003</v>
      </c>
      <c r="AZ126" s="275">
        <f>IF(C126="",0,(0.5*(_ML1*LPM)+0.5*(_ML1*HB)+0.66*(P*PR)+0.66*(_ML2*RDM)+0.66*(E*ER))*VLOOKUP(BATT,'Look Ups'!$U$3:$V$4,2,0))</f>
        <v>25.920918</v>
      </c>
      <c r="BA126" s="98"/>
      <c r="BB126" s="99"/>
      <c r="BC126" s="83">
        <v>8.52</v>
      </c>
      <c r="BD126" s="91">
        <v>2.21</v>
      </c>
      <c r="BE126" s="91">
        <v>2.4900000000000002</v>
      </c>
      <c r="BF126" s="91">
        <v>0.09</v>
      </c>
      <c r="BG126" s="91">
        <v>7.7</v>
      </c>
      <c r="BH126" s="91"/>
      <c r="BI126" s="91">
        <v>0.1</v>
      </c>
      <c r="BJ126" s="91">
        <v>0</v>
      </c>
      <c r="BK126" s="91">
        <v>-1.4999999999999999E-2</v>
      </c>
      <c r="BL126" s="97"/>
      <c r="BM126" s="275">
        <f>(0.5*LL*LPG)+(0.5*_LG1*HG)+(0.66*LL*LLRG)+(0.66*FG*FRG)+(IF((HG&gt;0),(0.66*_LG2*LRG),(0.66*_LG1*LRG)))</f>
        <v>9.8631580000000003</v>
      </c>
      <c r="BN126" s="282"/>
      <c r="BO126" s="283"/>
      <c r="BP126" s="284"/>
      <c r="BQ126" s="284"/>
      <c r="BR126" s="283"/>
      <c r="BS126" s="284"/>
      <c r="BT126" s="284"/>
      <c r="BU126" s="280">
        <f>(0.5*LLS*LPS)+(0.66*LLS*LLRS)+(0.66*LS*LRS)+(0.66*FS*FRS)</f>
        <v>0</v>
      </c>
      <c r="BV126" s="285"/>
      <c r="BW126" s="283"/>
      <c r="BX126" s="283"/>
      <c r="BY126" s="283"/>
      <c r="BZ126" s="283"/>
      <c r="CA126" s="283"/>
      <c r="CB126" s="283"/>
      <c r="CC126" s="275">
        <f>(0.5*LLD*LPD)+(0.66*LLD*LLRD)+(0.66*LCHD*LRD)+(0.66*FD*FRD)</f>
        <v>0</v>
      </c>
      <c r="CD126" s="98">
        <v>6.4</v>
      </c>
      <c r="CE126" s="91">
        <v>11.22</v>
      </c>
      <c r="CF126" s="91">
        <v>9.1999999999999993</v>
      </c>
      <c r="CG126" s="91">
        <v>4.9400000000000004</v>
      </c>
      <c r="CH126" s="266">
        <f>IF(SF&gt;0,SMG/SF*100,"")</f>
        <v>77.1875</v>
      </c>
      <c r="CI126" s="283"/>
      <c r="CJ126" s="280">
        <f>SF*(_SL1+_SL2)/4+(SMG-SF/2)*(_SL1+_SL2)/3</f>
        <v>44.515600000000006</v>
      </c>
      <c r="CK126" s="83">
        <v>4.55</v>
      </c>
      <c r="CL126" s="91">
        <v>9.9</v>
      </c>
      <c r="CM126" s="91">
        <v>8.6300000000000008</v>
      </c>
      <c r="CN126" s="91">
        <v>2.33</v>
      </c>
      <c r="CO126" s="256">
        <f>IF(SCRF&gt;0,SCRMG/SCRF*100,"")</f>
        <v>51.208791208791219</v>
      </c>
      <c r="CP126" s="283"/>
      <c r="CQ126" s="256">
        <f>SCRF*(SCRL1+SCRL2)/4+(SCRMG-SCRF/2)*(SCRL1+SCRL2)/3</f>
        <v>21.417591666666667</v>
      </c>
      <c r="CR126" s="256" t="str">
        <f>IF(CO126&lt;'Look Ups'!$AC$4,"Yes","No")</f>
        <v>Yes</v>
      </c>
      <c r="CS126" s="267">
        <f>IF(CR126="Yes",MIN(150,('Look Ups'!$AC$4-PSCR)/('Look Ups'!$AC$4-'Look Ups'!$AC$3)*100),0)</f>
        <v>15.824175824175626</v>
      </c>
      <c r="CT126" s="83"/>
      <c r="CU126" s="91"/>
      <c r="CV126" s="91"/>
      <c r="CW126" s="91"/>
      <c r="CX126" s="256" t="str">
        <f>IF(USCRF&gt;0,USCRMG/USCRF*100,"")</f>
        <v/>
      </c>
      <c r="CY126" s="293">
        <f>IF(PUSCR&lt;'Look Ups'!$AC$4,MIN(150,('Look Ups'!$AC$4-PUSCR)/('Look Ups'!$AC$4-'Look Ups'!$AC$3)*100),0)</f>
        <v>0</v>
      </c>
      <c r="CZ126" s="275">
        <f>IF(PUSCR&lt;'Look Ups'!$AC$4,USCRF*(USCRL1+USCRL2)/4+(USCRMG-USCRF/2)*(USCRL1+USCRL2)/3,0)</f>
        <v>0</v>
      </c>
      <c r="DA126" s="294">
        <f>IF(ZVAL=1,1,IF(LPM&gt;0,0.64*((AM+MAM)/(E+(MC/2))^2)^0.3,0))</f>
        <v>1</v>
      </c>
      <c r="DB126" s="256">
        <f>0.65*((AM+MAM)*EFM)+0.35*((AM+MAM)*ZVAL)</f>
        <v>28.682605500000001</v>
      </c>
      <c r="DC126" s="256">
        <f>IF(ZVAL=1,1,IF(LPG&gt;0,0.72*(AG/(LPG^2))^0.3,0))</f>
        <v>1</v>
      </c>
      <c r="DD126" s="256">
        <f>AG*EFG</f>
        <v>9.8631580000000003</v>
      </c>
      <c r="DE126" s="256">
        <f>IF(AZ126&gt;0,'Look Ups'!$S$3,0)</f>
        <v>1</v>
      </c>
      <c r="DF126" s="256">
        <f>IF(LPS&gt;0,0.72*(AS/(LPS^2))^0.3,0)</f>
        <v>0</v>
      </c>
      <c r="DG126" s="256">
        <f>EFS*AS</f>
        <v>0</v>
      </c>
      <c r="DH126" s="256">
        <f>IF(LPD&gt;0,0.72*(AD/(LPD^2))^0.3,0)</f>
        <v>0</v>
      </c>
      <c r="DI126" s="280">
        <f>IF((AD-AG)&gt;0,0.3*(AD-AG)*EFD,0)</f>
        <v>0</v>
      </c>
      <c r="DJ126" s="295" t="str">
        <f>IF((SCRF=0),"-",IF(AND(MSASC&gt;AG,SCRMG&lt;(0.75*SCRF)),"valid","ERROR"))</f>
        <v>valid</v>
      </c>
      <c r="DK126" s="266" t="str">
        <f>IF((SF=0),"-",IF((SMG&lt;(0.75*SF)),"ERROR",IF(AND(MSASP&gt;MSASC,MSASP&gt;AG,MSASP&gt;=0.36*RSAM),"valid","Small")))</f>
        <v>valid</v>
      </c>
      <c r="DL126" s="267" t="str">
        <f>IF(C126="","",CONCATENATE("MG",IF(FLSCR="valid","Scr",""),IF(FLSPI="valid","SP","")))</f>
        <v>MGScrSP</v>
      </c>
      <c r="DM126" s="294">
        <f>RSAM+RSAG</f>
        <v>38.5457635</v>
      </c>
      <c r="DN126" s="256">
        <f>IF(MSASP&gt;0,'Look Ups'!$AI$4*(ZVAL*MSASP-RSAG),0)</f>
        <v>10.395732600000002</v>
      </c>
      <c r="DO126" s="256">
        <f>IF(AND(MSASC&gt;0,(MSASC&gt;=0.36*RSAM)),('Look Ups'!$AI$3*(ZVAL*MSASC-RSAG)),(0))</f>
        <v>4.0440517833333329</v>
      </c>
      <c r="DP126" s="256">
        <f>IF(MSASP&gt;0,'Look Ups'!$AI$5*(ZVAL*MSASP-RSAG),0)</f>
        <v>9.7026837600000029</v>
      </c>
      <c r="DQ126" s="256">
        <f>IF(MSASC&gt;0,'Look Ups'!$AI$6*(MSASC-RSAG),0)</f>
        <v>0.80881035666666667</v>
      </c>
      <c r="DR126" s="280">
        <f>'Look Ups'!$AI$7*MAX(IF(MSAUSC&gt;0,EUSC/100*(MSAUSC-RSAG),0),IF(CR126="Yes",ELSC/100*(MSASC-RSAG),0))</f>
        <v>0.45709847472526899</v>
      </c>
      <c r="DS126" s="280">
        <f>0.36*RSAM</f>
        <v>10.32573798</v>
      </c>
      <c r="DT126" s="296">
        <f>_xlfn.IFS(SPC="MG",RAMG+DS126,SPC="MGScr",RAMG+RASCO,SPC="MGSp",RAMG+RASPO,SPC="MGScrSp",RAMG+RASPSC+RASCR)+RAUSC+RSAST+RSAD+RSAMZ+RSA2M</f>
        <v>49.514356091391946</v>
      </c>
      <c r="DU126" s="63"/>
    </row>
    <row r="127" spans="1:125" ht="15.6" customHeight="1" x14ac:dyDescent="0.3">
      <c r="A127" s="4"/>
      <c r="B127" s="64"/>
      <c r="C127" s="64" t="s">
        <v>511</v>
      </c>
      <c r="D127" s="85" t="s">
        <v>327</v>
      </c>
      <c r="E127" s="86" t="s">
        <v>512</v>
      </c>
      <c r="F127" s="252">
        <f ca="1">IF(RW=0,0,ROUND(DLF*0.93*RL^LF*RSA^0.4/RW^0.325,3))</f>
        <v>0.98599999999999999</v>
      </c>
      <c r="G127" s="252" t="str">
        <f ca="1">IF(OR(FLSCR="ERROR",FLSPI="ERROR"),"No",IF(TODAY()-'Look Ups'!$D$4*365&gt;I127,"WP Applied","Yes"))</f>
        <v>Yes</v>
      </c>
      <c r="H127" s="253" t="str">
        <f>IF(SPC="","",CONCATENATE("Main-Genoa",IF(FLSCR="valid",IF(OR(CR127="Yes",MSAUSC&gt;0),"-Screacher (Upwind)","-Screacher"),""),IF(FLSPI="valid","-Spinnaker",""),IF(RSAMZ&gt;0,"-Mizzen",""),IF(RSA2M&gt;0,"-Second Main",""),IF(AS&gt;0,"-Staysail",""),IF(AD&gt;0,"-Drifter","")))</f>
        <v>Main-Genoa-Screacher (Upwind)-Spinnaker</v>
      </c>
      <c r="I127" s="1">
        <v>43684</v>
      </c>
      <c r="J127" s="1">
        <v>44049</v>
      </c>
      <c r="K127" s="87" t="s">
        <v>153</v>
      </c>
      <c r="L127" s="87" t="s">
        <v>164</v>
      </c>
      <c r="M127" s="207"/>
      <c r="N127" s="88" t="s">
        <v>143</v>
      </c>
      <c r="O127" s="88" t="s">
        <v>144</v>
      </c>
      <c r="P127" s="100"/>
      <c r="Q127" s="90">
        <v>8.07</v>
      </c>
      <c r="R127" s="87"/>
      <c r="S127" s="256">
        <f>IF((LOAA&gt;LOA),0.025*LOAA,0.025*LOA)</f>
        <v>0.20175000000000001</v>
      </c>
      <c r="T127" s="117"/>
      <c r="U127" s="117">
        <v>0</v>
      </c>
      <c r="V127" s="258">
        <f>IF((_xlfn.SINGLE(LOAA)&gt;_xlfn.SINGLE(LOA)),_xlfn.SINGLE(LOAA),_xlfn.SINGLE(LOA)-_xlfn.SINGLE(FOC)-_xlfn.SINGLE(AOC))</f>
        <v>8.07</v>
      </c>
      <c r="W127" s="259">
        <f>IF(RL&gt;0,IF(RL&gt;'Look Ups'!Y$7,'Look Ups'!Y$8,('Look Ups'!Y$3*RL^3+'Look Ups'!Y$4*RL^2+'Look Ups'!Y$5*RL+'Look Ups'!Y$6)),0)</f>
        <v>0.29403355211900001</v>
      </c>
      <c r="X127" s="92">
        <v>920</v>
      </c>
      <c r="Y127" s="262">
        <f ca="1">IF(WDATE&lt;(TODAY()-'Look Ups'!$D$4*365),-WM*'Look Ups'!$D$5/100,0)</f>
        <v>0</v>
      </c>
      <c r="Z127" s="93"/>
      <c r="AA127" s="93"/>
      <c r="AB127" s="75"/>
      <c r="AC127" s="265">
        <f>WCD+NC*'Look Ups'!$AF$3</f>
        <v>0</v>
      </c>
      <c r="AD127" s="265">
        <f ca="1">IF(RL&lt;'Look Ups'!AM$3,'Look Ups'!AM$4,IF(RL&gt;'Look Ups'!AM$5,'Look Ups'!AM$6,(RL-'Look Ups'!AM$3)/('Look Ups'!AM$5-'Look Ups'!AM$3)*('Look Ups'!AM$6-'Look Ups'!AM$4)+'Look Ups'!AM$4))/100*WS</f>
        <v>230.16727272727272</v>
      </c>
      <c r="AE127" s="266">
        <f ca="1">WM+WP+WE</f>
        <v>920</v>
      </c>
      <c r="AF127" s="267">
        <f ca="1">_xlfn.SINGLE(WS)+IF(_xlfn.SINGLE(TCW)&gt;=_xlfn.SINGLE(CWA),_xlfn.SINGLE(CWA),_xlfn.SINGLE(TCW))</f>
        <v>920</v>
      </c>
      <c r="AG127" s="94" t="s">
        <v>145</v>
      </c>
      <c r="AH127" s="95" t="s">
        <v>146</v>
      </c>
      <c r="AI127" s="96" t="s">
        <v>147</v>
      </c>
      <c r="AJ127" s="218"/>
      <c r="AK127" s="273">
        <f>IF(C127="",0,VLOOKUP(AG127,'Look Ups'!$F$3:$G$6,2,0)*VLOOKUP(AH127,'Look Ups'!$I$3:$J$5,2,0)*VLOOKUP(AI127,'Look Ups'!$L$3:$M$7,2,0)*IF(AJ127="",1,VLOOKUP(AJ127,'Look Ups'!$O$3:$P$4,2,0)))</f>
        <v>1</v>
      </c>
      <c r="AL127" s="83">
        <v>11.17</v>
      </c>
      <c r="AM127" s="91">
        <v>10.89</v>
      </c>
      <c r="AN127" s="91">
        <v>2.88</v>
      </c>
      <c r="AO127" s="91">
        <v>1.24</v>
      </c>
      <c r="AP127" s="91">
        <v>0.38300000000000001</v>
      </c>
      <c r="AQ127" s="91">
        <v>10.83</v>
      </c>
      <c r="AR127" s="91">
        <v>0.05</v>
      </c>
      <c r="AS127" s="91">
        <v>2.97</v>
      </c>
      <c r="AT127" s="91">
        <v>0.11</v>
      </c>
      <c r="AU127" s="91"/>
      <c r="AV127" s="91" t="s">
        <v>148</v>
      </c>
      <c r="AW127" s="97"/>
      <c r="AX127" s="256">
        <f>P+ER</f>
        <v>10.94</v>
      </c>
      <c r="AY127" s="256">
        <f>P*0.375*MC</f>
        <v>0</v>
      </c>
      <c r="AZ127" s="275">
        <f>IF(C127="",0,(0.5*(_ML1*LPM)+0.5*(_ML1*HB)+0.66*(P*PR)+0.66*(_ML2*RDM)+0.66*(E*ER))*VLOOKUP(BATT,'Look Ups'!$U$3:$V$4,2,0))</f>
        <v>26.335986199999997</v>
      </c>
      <c r="BA127" s="98"/>
      <c r="BB127" s="99"/>
      <c r="BC127" s="83">
        <v>10.24</v>
      </c>
      <c r="BD127" s="91">
        <v>3.83</v>
      </c>
      <c r="BE127" s="91">
        <v>4.08</v>
      </c>
      <c r="BF127" s="91">
        <v>0.18</v>
      </c>
      <c r="BG127" s="91">
        <v>9.48</v>
      </c>
      <c r="BH127" s="91"/>
      <c r="BI127" s="91"/>
      <c r="BJ127" s="91">
        <v>-7.0000000000000007E-2</v>
      </c>
      <c r="BK127" s="91"/>
      <c r="BL127" s="97"/>
      <c r="BM127" s="275">
        <f>(0.5*LL*LPG)+(0.5*_LG1*HG)+(0.66*LL*LLRG)+(0.66*FG*FRG)+(IF((HG&gt;0),(0.66*_LG2*LRG),(0.66*_LG1*LRG)))</f>
        <v>19.656328000000002</v>
      </c>
      <c r="BN127" s="282"/>
      <c r="BO127" s="283"/>
      <c r="BP127" s="284"/>
      <c r="BQ127" s="284"/>
      <c r="BR127" s="283"/>
      <c r="BS127" s="284"/>
      <c r="BT127" s="284"/>
      <c r="BU127" s="280">
        <f>(0.5*LLS*LPS)+(0.66*LLS*LLRS)+(0.66*LS*LRS)+(0.66*FS*FRS)</f>
        <v>0</v>
      </c>
      <c r="BV127" s="285"/>
      <c r="BW127" s="283"/>
      <c r="BX127" s="283"/>
      <c r="BY127" s="283"/>
      <c r="BZ127" s="283"/>
      <c r="CA127" s="283"/>
      <c r="CB127" s="283"/>
      <c r="CC127" s="275">
        <f>(0.5*LLD*LPD)+(0.66*LLD*LLRD)+(0.66*LCHD*LRD)+(0.66*FD*FRD)</f>
        <v>0</v>
      </c>
      <c r="CD127" s="98">
        <v>8.02</v>
      </c>
      <c r="CE127" s="91">
        <v>13.96</v>
      </c>
      <c r="CF127" s="91">
        <v>11.28</v>
      </c>
      <c r="CG127" s="91">
        <v>7.52</v>
      </c>
      <c r="CH127" s="266">
        <f>IF(SF&gt;0,SMG/SF*100,"")</f>
        <v>93.765586034912715</v>
      </c>
      <c r="CI127" s="283"/>
      <c r="CJ127" s="280">
        <f>SF*(_SL1+_SL2)/4+(SMG-SF/2)*(_SL1+_SL2)/3</f>
        <v>80.137</v>
      </c>
      <c r="CK127" s="83">
        <v>6.48</v>
      </c>
      <c r="CL127" s="91">
        <v>9.82</v>
      </c>
      <c r="CM127" s="91">
        <v>8.32</v>
      </c>
      <c r="CN127" s="91">
        <v>3.35</v>
      </c>
      <c r="CO127" s="256">
        <f>IF(SCRF&gt;0,SCRMG/SCRF*100,"")</f>
        <v>51.697530864197525</v>
      </c>
      <c r="CP127" s="283"/>
      <c r="CQ127" s="256">
        <f>SCRF*(SCRL1+SCRL2)/4+(SCRMG-SCRF/2)*(SCRL1+SCRL2)/3</f>
        <v>30.051933333333338</v>
      </c>
      <c r="CR127" s="256" t="str">
        <f>IF(CO127&lt;'Look Ups'!$AC$4,"Yes","No")</f>
        <v>Yes</v>
      </c>
      <c r="CS127" s="267">
        <f>IF(CR127="Yes",MIN(150,('Look Ups'!$AC$4-PSCR)/('Look Ups'!$AC$4-'Look Ups'!$AC$3)*100),0)</f>
        <v>6.0493827160495073</v>
      </c>
      <c r="CT127" s="83"/>
      <c r="CU127" s="91"/>
      <c r="CV127" s="91"/>
      <c r="CW127" s="91"/>
      <c r="CX127" s="256" t="str">
        <f>IF(USCRF&gt;0,USCRMG/USCRF*100,"")</f>
        <v/>
      </c>
      <c r="CY127" s="293">
        <f>IF(PUSCR&lt;'Look Ups'!$AC$4,MIN(150,('Look Ups'!$AC$4-PUSCR)/('Look Ups'!$AC$4-'Look Ups'!$AC$3)*100),0)</f>
        <v>0</v>
      </c>
      <c r="CZ127" s="275">
        <f>IF(PUSCR&lt;'Look Ups'!$AC$4,USCRF*(USCRL1+USCRL2)/4+(USCRMG-USCRF/2)*(USCRL1+USCRL2)/3,0)</f>
        <v>0</v>
      </c>
      <c r="DA127" s="294">
        <f>IF(ZVAL=1,1,IF(LPM&gt;0,0.64*((AM+MAM)/(E+(MC/2))^2)^0.3,0))</f>
        <v>1</v>
      </c>
      <c r="DB127" s="256">
        <f>0.65*((AM+MAM)*EFM)+0.35*((AM+MAM)*ZVAL)</f>
        <v>26.335986199999997</v>
      </c>
      <c r="DC127" s="256">
        <f>IF(ZVAL=1,1,IF(LPG&gt;0,0.72*(AG/(LPG^2))^0.3,0))</f>
        <v>1</v>
      </c>
      <c r="DD127" s="256">
        <f>AG*EFG</f>
        <v>19.656328000000002</v>
      </c>
      <c r="DE127" s="256">
        <f>IF(AZ127&gt;0,'Look Ups'!$S$3,0)</f>
        <v>1</v>
      </c>
      <c r="DF127" s="256">
        <f>IF(LPS&gt;0,0.72*(AS/(LPS^2))^0.3,0)</f>
        <v>0</v>
      </c>
      <c r="DG127" s="256">
        <f>EFS*AS</f>
        <v>0</v>
      </c>
      <c r="DH127" s="256">
        <f>IF(LPD&gt;0,0.72*(AD/(LPD^2))^0.3,0)</f>
        <v>0</v>
      </c>
      <c r="DI127" s="280">
        <f>IF((AD-AG)&gt;0,0.3*(AD-AG)*EFD,0)</f>
        <v>0</v>
      </c>
      <c r="DJ127" s="295" t="str">
        <f>IF((SCRF=0),"-",IF(AND(MSASC&gt;AG,SCRMG&lt;(0.75*SCRF)),"valid","ERROR"))</f>
        <v>valid</v>
      </c>
      <c r="DK127" s="266" t="str">
        <f>IF((SF=0),"-",IF((SMG&lt;(0.75*SF)),"ERROR",IF(AND(MSASP&gt;MSASC,MSASP&gt;AG,MSASP&gt;=0.36*RSAM),"valid","Small")))</f>
        <v>valid</v>
      </c>
      <c r="DL127" s="267" t="str">
        <f>IF(C127="","",CONCATENATE("MG",IF(FLSCR="valid","Scr",""),IF(FLSPI="valid","SP","")))</f>
        <v>MGScrSP</v>
      </c>
      <c r="DM127" s="294">
        <f>RSAM+RSAG</f>
        <v>45.992314199999996</v>
      </c>
      <c r="DN127" s="256">
        <f>IF(MSASP&gt;0,'Look Ups'!$AI$4*(ZVAL*MSASP-RSAG),0)</f>
        <v>18.144201599999999</v>
      </c>
      <c r="DO127" s="256">
        <f>IF(AND(MSASC&gt;0,(MSASC&gt;=0.36*RSAM)),('Look Ups'!$AI$3*(ZVAL*MSASC-RSAG)),(0))</f>
        <v>3.6384618666666673</v>
      </c>
      <c r="DP127" s="256">
        <f>IF(MSASP&gt;0,'Look Ups'!$AI$5*(ZVAL*MSASP-RSAG),0)</f>
        <v>16.934588160000001</v>
      </c>
      <c r="DQ127" s="256">
        <f>IF(MSASC&gt;0,'Look Ups'!$AI$6*(MSASC-RSAG),0)</f>
        <v>0.72769237333333359</v>
      </c>
      <c r="DR127" s="280">
        <f>'Look Ups'!$AI$7*MAX(IF(MSAUSC&gt;0,EUSC/100*(MSAUSC-RSAG),0),IF(CR127="Yes",ELSC/100*(MSASC-RSAG),0))</f>
        <v>0.1572174880658469</v>
      </c>
      <c r="DS127" s="280">
        <f>0.36*RSAM</f>
        <v>9.4809550319999989</v>
      </c>
      <c r="DT127" s="296">
        <f>_xlfn.IFS(SPC="MG",RAMG+DS127,SPC="MGScr",RAMG+RASCO,SPC="MGSp",RAMG+RASPO,SPC="MGScrSp",RAMG+RASPSC+RASCR)+RAUSC+RSAST+RSAD+RSAMZ+RSA2M</f>
        <v>63.81181222139918</v>
      </c>
      <c r="DU127" s="63"/>
    </row>
    <row r="128" spans="1:125" ht="15.6" customHeight="1" x14ac:dyDescent="0.3">
      <c r="A128" s="4"/>
      <c r="B128" s="84"/>
      <c r="C128" s="64" t="s">
        <v>1174</v>
      </c>
      <c r="D128" s="101" t="s">
        <v>238</v>
      </c>
      <c r="E128" s="86" t="s">
        <v>1175</v>
      </c>
      <c r="F128" s="252">
        <f ca="1">IF(RW=0,0,ROUND(DLF*0.93*RL^LF*RSA^0.4/RW^0.325,3))</f>
        <v>0.72499999999999998</v>
      </c>
      <c r="G128" s="252" t="str">
        <f ca="1">IF(OR(FLSCR="ERROR",FLSPI="ERROR"),"No",IF(TODAY()-'Look Ups'!$D$4*365&gt;I128,"WP Applied","Yes"))</f>
        <v>Yes</v>
      </c>
      <c r="H128" s="253" t="str">
        <f>IF(SPC="","",CONCATENATE("Main-Genoa",IF(FLSCR="valid",IF(OR(CR128="Yes",MSAUSC&gt;0),"-Screacher (Upwind)","-Screacher"),""),IF(FLSPI="valid","-Spinnaker",""),IF(RSAMZ&gt;0,"-Mizzen",""),IF(RSA2M&gt;0,"-Second Main",""),IF(AS&gt;0,"-Staysail",""),IF(AD&gt;0,"-Drifter","")))</f>
        <v>Main-Genoa-Spinnaker</v>
      </c>
      <c r="I128" s="1">
        <v>45249</v>
      </c>
      <c r="J128" s="1">
        <v>45385</v>
      </c>
      <c r="K128" s="87" t="s">
        <v>206</v>
      </c>
      <c r="L128" s="87" t="s">
        <v>176</v>
      </c>
      <c r="M128" s="207"/>
      <c r="N128" s="88" t="s">
        <v>143</v>
      </c>
      <c r="O128" s="88" t="s">
        <v>154</v>
      </c>
      <c r="P128" s="102"/>
      <c r="Q128" s="90">
        <v>5.95</v>
      </c>
      <c r="R128" s="87"/>
      <c r="S128" s="256">
        <f>IF((LOAA&gt;LOA),0.025*LOAA,0.025*LOA)</f>
        <v>0.14875000000000002</v>
      </c>
      <c r="T128" s="91">
        <v>0.33</v>
      </c>
      <c r="U128" s="91">
        <v>0</v>
      </c>
      <c r="V128" s="258">
        <f>IF((_xlfn.SINGLE(LOAA)&gt;_xlfn.SINGLE(LOA)),_xlfn.SINGLE(LOAA),_xlfn.SINGLE(LOA)-_xlfn.SINGLE(FOC)-_xlfn.SINGLE(AOC))</f>
        <v>5.62</v>
      </c>
      <c r="W128" s="259">
        <f>IF(RL&gt;0,IF(RL&gt;'Look Ups'!Y$7,'Look Ups'!Y$8,('Look Ups'!Y$3*RL^3+'Look Ups'!Y$4*RL^2+'Look Ups'!Y$5*RL+'Look Ups'!Y$6)),0)</f>
        <v>0.28172948282400001</v>
      </c>
      <c r="X128" s="92">
        <v>680</v>
      </c>
      <c r="Y128" s="262">
        <f ca="1">IF(WDATE&lt;(TODAY()-'Look Ups'!$D$4*365),-WM*'Look Ups'!$D$5/100,0)</f>
        <v>0</v>
      </c>
      <c r="Z128" s="93"/>
      <c r="AA128" s="93"/>
      <c r="AB128" s="75"/>
      <c r="AC128" s="265">
        <f>WCD+NC*'Look Ups'!$AF$3</f>
        <v>0</v>
      </c>
      <c r="AD128" s="265">
        <f ca="1">IF(RL&lt;'Look Ups'!AM$3,'Look Ups'!AM$4,IF(RL&gt;'Look Ups'!AM$5,'Look Ups'!AM$6,(RL-'Look Ups'!AM$3)/('Look Ups'!AM$5-'Look Ups'!AM$3)*('Look Ups'!AM$6-'Look Ups'!AM$4)+'Look Ups'!AM$4))/100*WS</f>
        <v>204</v>
      </c>
      <c r="AE128" s="266">
        <f ca="1">WM+WP+WE</f>
        <v>680</v>
      </c>
      <c r="AF128" s="267">
        <f ca="1">_xlfn.SINGLE(WS)+IF(_xlfn.SINGLE(TCW)&gt;=_xlfn.SINGLE(CWA),_xlfn.SINGLE(CWA),_xlfn.SINGLE(TCW))</f>
        <v>680</v>
      </c>
      <c r="AG128" s="94" t="s">
        <v>145</v>
      </c>
      <c r="AH128" s="95" t="s">
        <v>146</v>
      </c>
      <c r="AI128" s="96" t="s">
        <v>147</v>
      </c>
      <c r="AJ128" s="218"/>
      <c r="AK128" s="273">
        <f>IF(C128="",0,VLOOKUP(AG128,'Look Ups'!$F$3:$G$6,2,0)*VLOOKUP(AH128,'Look Ups'!$I$3:$J$5,2,0)*VLOOKUP(AI128,'Look Ups'!$L$3:$M$7,2,0)*IF(AJ128="",1,VLOOKUP(AJ128,'Look Ups'!$O$3:$P$4,2,0)))</f>
        <v>1</v>
      </c>
      <c r="AL128" s="83">
        <v>7.63</v>
      </c>
      <c r="AM128" s="91">
        <v>7.35</v>
      </c>
      <c r="AN128" s="91">
        <v>2.4300000000000002</v>
      </c>
      <c r="AO128" s="91">
        <v>0.95</v>
      </c>
      <c r="AP128" s="91">
        <v>0.34</v>
      </c>
      <c r="AQ128" s="91">
        <v>7.4</v>
      </c>
      <c r="AR128" s="91">
        <v>7.0000000000000007E-2</v>
      </c>
      <c r="AS128" s="91">
        <v>2.54</v>
      </c>
      <c r="AT128" s="91">
        <v>0.08</v>
      </c>
      <c r="AU128" s="91">
        <v>0</v>
      </c>
      <c r="AV128" s="91" t="s">
        <v>148</v>
      </c>
      <c r="AW128" s="97" t="s">
        <v>751</v>
      </c>
      <c r="AX128" s="256">
        <f>P+ER</f>
        <v>7.48</v>
      </c>
      <c r="AY128" s="256">
        <f>P*0.375*MC</f>
        <v>0</v>
      </c>
      <c r="AZ128" s="275">
        <f>IF(C128="",0,(0.5*(_ML1*LPM)+0.5*(_ML1*HB)+0.66*(P*PR)+0.66*(_ML2*RDM)+0.66*(E*ER))*VLOOKUP(BATT,'Look Ups'!$U$3:$V$4,2,0))</f>
        <v>15.020032</v>
      </c>
      <c r="BA128" s="98"/>
      <c r="BB128" s="99"/>
      <c r="BC128" s="83">
        <v>7.26</v>
      </c>
      <c r="BD128" s="91">
        <v>2.23</v>
      </c>
      <c r="BE128" s="91">
        <v>2.58</v>
      </c>
      <c r="BF128" s="91">
        <v>0.14000000000000001</v>
      </c>
      <c r="BG128" s="91">
        <v>6.48</v>
      </c>
      <c r="BH128" s="91">
        <v>6.44</v>
      </c>
      <c r="BI128" s="91">
        <v>0.12</v>
      </c>
      <c r="BJ128" s="91">
        <v>0.02</v>
      </c>
      <c r="BK128" s="91">
        <v>-0.05</v>
      </c>
      <c r="BL128" s="97" t="s">
        <v>520</v>
      </c>
      <c r="BM128" s="275">
        <f>(0.5*LL*LPG)+(0.5*_LG1*HG)+(0.66*LL*LLRG)+(0.66*FG*FRG)+(IF((HG&gt;0),(0.66*_LG2*LRG),(0.66*_LG1*LRG)))</f>
        <v>8.5675199999999982</v>
      </c>
      <c r="BN128" s="282"/>
      <c r="BO128" s="283"/>
      <c r="BP128" s="284"/>
      <c r="BQ128" s="284"/>
      <c r="BR128" s="283"/>
      <c r="BS128" s="284"/>
      <c r="BT128" s="284"/>
      <c r="BU128" s="280">
        <f>(0.5*LLS*LPS)+(0.66*LLS*LLRS)+(0.66*LS*LRS)+(0.66*FS*FRS)</f>
        <v>0</v>
      </c>
      <c r="BV128" s="285"/>
      <c r="BW128" s="283"/>
      <c r="BX128" s="283"/>
      <c r="BY128" s="283"/>
      <c r="BZ128" s="283"/>
      <c r="CA128" s="283"/>
      <c r="CB128" s="283"/>
      <c r="CC128" s="275">
        <f>(0.5*LLD*LPD)+(0.66*LLD*LLRD)+(0.66*LCHD*LRD)+(0.66*FD*FRD)</f>
        <v>0</v>
      </c>
      <c r="CD128" s="98">
        <v>5.63</v>
      </c>
      <c r="CE128" s="91">
        <v>9.0500000000000007</v>
      </c>
      <c r="CF128" s="91">
        <v>7.98</v>
      </c>
      <c r="CG128" s="91">
        <v>4.93</v>
      </c>
      <c r="CH128" s="266">
        <f>IF(SF&gt;0,SMG/SF*100,"")</f>
        <v>87.566607460035513</v>
      </c>
      <c r="CI128" s="286"/>
      <c r="CJ128" s="280">
        <f>SF*(_SL1+_SL2)/4+(SMG-SF/2)*(_SL1+_SL2)/3</f>
        <v>35.975875000000002</v>
      </c>
      <c r="CK128" s="83"/>
      <c r="CL128" s="91"/>
      <c r="CM128" s="91"/>
      <c r="CN128" s="91"/>
      <c r="CO128" s="256" t="str">
        <f>IF(SCRF&gt;0,SCRMG/SCRF*100,"")</f>
        <v/>
      </c>
      <c r="CP128" s="286"/>
      <c r="CQ128" s="256">
        <f>SCRF*(SCRL1+SCRL2)/4+(SCRMG-SCRF/2)*(SCRL1+SCRL2)/3</f>
        <v>0</v>
      </c>
      <c r="CR128" s="256" t="str">
        <f>IF(CO128&lt;'Look Ups'!$AC$4,"Yes","No")</f>
        <v>No</v>
      </c>
      <c r="CS128" s="267">
        <f>IF(CR128="Yes",MIN(150,('Look Ups'!$AC$4-PSCR)/('Look Ups'!$AC$4-'Look Ups'!$AC$3)*100),0)</f>
        <v>0</v>
      </c>
      <c r="CT128" s="83"/>
      <c r="CU128" s="91"/>
      <c r="CV128" s="91"/>
      <c r="CW128" s="91"/>
      <c r="CX128" s="256" t="str">
        <f>IF(USCRF&gt;0,USCRMG/USCRF*100,"")</f>
        <v/>
      </c>
      <c r="CY128" s="293">
        <f>IF(PUSCR&lt;'Look Ups'!$AC$4,MIN(150,('Look Ups'!$AC$4-PUSCR)/('Look Ups'!$AC$4-'Look Ups'!$AC$3)*100),0)</f>
        <v>0</v>
      </c>
      <c r="CZ128" s="275">
        <f>IF(PUSCR&lt;'Look Ups'!$AC$4,USCRF*(USCRL1+USCRL2)/4+(USCRMG-USCRF/2)*(USCRL1+USCRL2)/3,0)</f>
        <v>0</v>
      </c>
      <c r="DA128" s="294">
        <f>IF(ZVAL=1,1,IF(LPM&gt;0,0.64*((AM+MAM)/(E+(MC/2))^2)^0.3,0))</f>
        <v>1</v>
      </c>
      <c r="DB128" s="256">
        <f>0.65*((AM+MAM)*EFM)+0.35*((AM+MAM)*ZVAL)</f>
        <v>15.020032</v>
      </c>
      <c r="DC128" s="256">
        <f>IF(ZVAL=1,1,IF(LPG&gt;0,0.72*(AG/(LPG^2))^0.3,0))</f>
        <v>1</v>
      </c>
      <c r="DD128" s="256">
        <f>AG*EFG</f>
        <v>8.5675199999999982</v>
      </c>
      <c r="DE128" s="256">
        <f>IF(AZ128&gt;0,'Look Ups'!$S$3,0)</f>
        <v>1</v>
      </c>
      <c r="DF128" s="256">
        <f>IF(LPS&gt;0,0.72*(AS/(LPS^2))^0.3,0)</f>
        <v>0</v>
      </c>
      <c r="DG128" s="256">
        <f>EFS*AS</f>
        <v>0</v>
      </c>
      <c r="DH128" s="256">
        <f>IF(LPD&gt;0,0.72*(AD/(LPD^2))^0.3,0)</f>
        <v>0</v>
      </c>
      <c r="DI128" s="280">
        <f>IF((AD-AG)&gt;0,0.3*(AD-AG)*EFD,0)</f>
        <v>0</v>
      </c>
      <c r="DJ128" s="295" t="str">
        <f>IF((SCRF=0),"-",IF(AND(MSASC&gt;AG,SCRMG&lt;(0.75*SCRF)),"valid","ERROR"))</f>
        <v>-</v>
      </c>
      <c r="DK128" s="266" t="str">
        <f>IF((SF=0),"-",IF((SMG&lt;(0.75*SF)),"ERROR",IF(AND(MSASP&gt;MSASC,MSASP&gt;AG,MSASP&gt;=0.36*RSAM),"valid","Small")))</f>
        <v>valid</v>
      </c>
      <c r="DL128" s="267" t="str">
        <f>IF(C128="","",CONCATENATE("MG",IF(FLSCR="valid","Scr",""),IF(FLSPI="valid","SP","")))</f>
        <v>MGSP</v>
      </c>
      <c r="DM128" s="294">
        <f>RSAM+RSAG</f>
        <v>23.587551999999999</v>
      </c>
      <c r="DN128" s="256">
        <f>IF(MSASP&gt;0,'Look Ups'!$AI$4*(ZVAL*MSASP-RSAG),0)</f>
        <v>8.2225065000000015</v>
      </c>
      <c r="DO128" s="256">
        <f>IF(AND(MSASC&gt;0,(MSASC&gt;=0.36*RSAM)),('Look Ups'!$AI$3*(ZVAL*MSASC-RSAG)),(0))</f>
        <v>0</v>
      </c>
      <c r="DP128" s="256">
        <f>IF(MSASP&gt;0,'Look Ups'!$AI$5*(ZVAL*MSASP-RSAG),0)</f>
        <v>7.6743394000000018</v>
      </c>
      <c r="DQ128" s="256">
        <f>IF(MSASC&gt;0,'Look Ups'!$AI$6*(MSASC-RSAG),0)</f>
        <v>0</v>
      </c>
      <c r="DR128" s="280">
        <f>'Look Ups'!$AI$7*MAX(IF(MSAUSC&gt;0,EUSC/100*(MSAUSC-RSAG),0),IF(CR128="Yes",ELSC/100*(MSASC-RSAG),0))</f>
        <v>0</v>
      </c>
      <c r="DS128" s="280">
        <f>0.36*RSAM</f>
        <v>5.4072115199999997</v>
      </c>
      <c r="DT128" s="296">
        <f>_xlfn.IFS(SPC="MG",RAMG+DS128,SPC="MGScr",RAMG+RASCO,SPC="MGSp",RAMG+RASPO,SPC="MGScrSp",RAMG+RASPSC+RASCR)+RAUSC+RSAST+RSAD+RSAMZ+RSA2M</f>
        <v>31.8100585</v>
      </c>
      <c r="DU128" s="63"/>
    </row>
    <row r="129" spans="1:125" ht="15.6" customHeight="1" x14ac:dyDescent="0.3">
      <c r="A129" s="4"/>
      <c r="B129" s="64"/>
      <c r="C129" s="64" t="s">
        <v>516</v>
      </c>
      <c r="D129" s="101" t="s">
        <v>517</v>
      </c>
      <c r="E129" s="86" t="s">
        <v>518</v>
      </c>
      <c r="F129" s="252">
        <f ca="1">IF(RW=0,0,ROUND(DLF*0.93*RL^LF*RSA^0.4/RW^0.325,3))</f>
        <v>0.87</v>
      </c>
      <c r="G129" s="252" t="str">
        <f ca="1">IF(OR(FLSCR="ERROR",FLSPI="ERROR"),"No",IF(TODAY()-'Look Ups'!$D$4*365&gt;I129,"WP Applied","Yes"))</f>
        <v>Yes</v>
      </c>
      <c r="H129" s="253" t="str">
        <f>IF(SPC="","",CONCATENATE("Main-Genoa",IF(FLSCR="valid",IF(OR(CR129="Yes",MSAUSC&gt;0),"-Screacher (Upwind)","-Screacher"),""),IF(FLSPI="valid","-Spinnaker",""),IF(RSAMZ&gt;0,"-Mizzen",""),IF(RSA2M&gt;0,"-Second Main",""),IF(AS&gt;0,"-Staysail",""),IF(AD&gt;0,"-Drifter","")))</f>
        <v>Main-Genoa-Spinnaker</v>
      </c>
      <c r="I129" s="1">
        <v>45311</v>
      </c>
      <c r="J129" s="1">
        <v>45314</v>
      </c>
      <c r="K129" s="87" t="s">
        <v>222</v>
      </c>
      <c r="L129" s="87" t="s">
        <v>176</v>
      </c>
      <c r="M129" s="207"/>
      <c r="N129" s="88" t="s">
        <v>143</v>
      </c>
      <c r="O129" s="88" t="s">
        <v>154</v>
      </c>
      <c r="P129" s="102"/>
      <c r="Q129" s="90">
        <v>8.4700000000000006</v>
      </c>
      <c r="R129" s="87"/>
      <c r="S129" s="256">
        <f>IF((LOAA&gt;LOA),0.025*LOAA,0.025*LOA)</f>
        <v>0.21175000000000002</v>
      </c>
      <c r="T129" s="91">
        <v>0.1</v>
      </c>
      <c r="U129" s="91">
        <v>0</v>
      </c>
      <c r="V129" s="258">
        <f>IF((_xlfn.SINGLE(LOAA)&gt;_xlfn.SINGLE(LOA)),_xlfn.SINGLE(LOAA),_xlfn.SINGLE(LOA)-_xlfn.SINGLE(FOC)-_xlfn.SINGLE(AOC))</f>
        <v>8.370000000000001</v>
      </c>
      <c r="W129" s="259">
        <f>IF(RL&gt;0,IF(RL&gt;'Look Ups'!Y$7,'Look Ups'!Y$8,('Look Ups'!Y$3*RL^3+'Look Ups'!Y$4*RL^2+'Look Ups'!Y$5*RL+'Look Ups'!Y$6)),0)</f>
        <v>0.29498575634900004</v>
      </c>
      <c r="X129" s="92">
        <v>1168</v>
      </c>
      <c r="Y129" s="262">
        <f ca="1">IF(WDATE&lt;(TODAY()-'Look Ups'!$D$4*365),-WM*'Look Ups'!$D$5/100,0)</f>
        <v>0</v>
      </c>
      <c r="Z129" s="93"/>
      <c r="AA129" s="93"/>
      <c r="AB129" s="75"/>
      <c r="AC129" s="265">
        <f>WCD+NC*'Look Ups'!$AF$3</f>
        <v>0</v>
      </c>
      <c r="AD129" s="265">
        <f ca="1">IF(RL&lt;'Look Ups'!AM$3,'Look Ups'!AM$4,IF(RL&gt;'Look Ups'!AM$5,'Look Ups'!AM$6,(RL-'Look Ups'!AM$3)/('Look Ups'!AM$5-'Look Ups'!AM$3)*('Look Ups'!AM$6-'Look Ups'!AM$4)+'Look Ups'!AM$4))/100*WS</f>
        <v>279.4705454545454</v>
      </c>
      <c r="AE129" s="266">
        <f ca="1">WM+WP+WE</f>
        <v>1168</v>
      </c>
      <c r="AF129" s="267">
        <f ca="1">_xlfn.SINGLE(WS)+IF(_xlfn.SINGLE(TCW)&gt;=_xlfn.SINGLE(CWA),_xlfn.SINGLE(CWA),_xlfn.SINGLE(TCW))</f>
        <v>1168</v>
      </c>
      <c r="AG129" s="94" t="s">
        <v>145</v>
      </c>
      <c r="AH129" s="95" t="s">
        <v>146</v>
      </c>
      <c r="AI129" s="96" t="s">
        <v>147</v>
      </c>
      <c r="AJ129" s="218"/>
      <c r="AK129" s="273">
        <f>IF(C129="",0,VLOOKUP(AG129,'Look Ups'!$F$3:$G$6,2,0)*VLOOKUP(AH129,'Look Ups'!$I$3:$J$5,2,0)*VLOOKUP(AI129,'Look Ups'!$L$3:$M$7,2,0)*IF(AJ129="",1,VLOOKUP(AJ129,'Look Ups'!$O$3:$P$4,2,0)))</f>
        <v>1</v>
      </c>
      <c r="AL129" s="83">
        <v>10.47</v>
      </c>
      <c r="AM129" s="91">
        <v>10.32</v>
      </c>
      <c r="AN129" s="91">
        <v>3.02</v>
      </c>
      <c r="AO129" s="91">
        <v>1.3</v>
      </c>
      <c r="AP129" s="91">
        <v>0.16</v>
      </c>
      <c r="AQ129" s="91">
        <v>10.16</v>
      </c>
      <c r="AR129" s="91">
        <v>0.1</v>
      </c>
      <c r="AS129" s="91">
        <v>3.19</v>
      </c>
      <c r="AT129" s="91">
        <v>0</v>
      </c>
      <c r="AU129" s="91">
        <v>0.46</v>
      </c>
      <c r="AV129" s="91" t="s">
        <v>148</v>
      </c>
      <c r="AW129" s="97" t="s">
        <v>519</v>
      </c>
      <c r="AX129" s="256">
        <f>P+ER</f>
        <v>10.16</v>
      </c>
      <c r="AY129" s="256">
        <f>P*0.375*MC</f>
        <v>1.7526000000000002</v>
      </c>
      <c r="AZ129" s="275">
        <f>IF(C129="",0,(0.5*(_ML1*LPM)+0.5*(_ML1*HB)+0.66*(P*PR)+0.66*(_ML2*RDM)+0.66*(E*ER))*VLOOKUP(BATT,'Look Ups'!$U$3:$V$4,2,0))</f>
        <v>24.375552000000003</v>
      </c>
      <c r="BA129" s="98"/>
      <c r="BB129" s="99"/>
      <c r="BC129" s="83">
        <v>9.18</v>
      </c>
      <c r="BD129" s="91">
        <v>2.78</v>
      </c>
      <c r="BE129" s="91">
        <v>3.08</v>
      </c>
      <c r="BF129" s="91">
        <v>0.13</v>
      </c>
      <c r="BG129" s="91">
        <v>8.23</v>
      </c>
      <c r="BH129" s="91"/>
      <c r="BI129" s="91"/>
      <c r="BJ129" s="91">
        <v>9.5000000000000001E-2</v>
      </c>
      <c r="BK129" s="91">
        <v>5.5E-2</v>
      </c>
      <c r="BL129" s="97" t="s">
        <v>520</v>
      </c>
      <c r="BM129" s="275">
        <f>(0.5*LL*LPG)+(0.5*_LG1*HG)+(0.66*LL*LLRG)+(0.66*FG*FRG)+(IF((HG&gt;0),(0.66*_LG2*LRG),(0.66*_LG1*LRG)))</f>
        <v>13.873718999999999</v>
      </c>
      <c r="BN129" s="282"/>
      <c r="BO129" s="283"/>
      <c r="BP129" s="284"/>
      <c r="BQ129" s="284"/>
      <c r="BR129" s="283"/>
      <c r="BS129" s="284"/>
      <c r="BT129" s="284"/>
      <c r="BU129" s="280">
        <f>(0.5*LLS*LPS)+(0.66*LLS*LLRS)+(0.66*LS*LRS)+(0.66*FS*FRS)</f>
        <v>0</v>
      </c>
      <c r="BV129" s="285"/>
      <c r="BW129" s="283"/>
      <c r="BX129" s="283"/>
      <c r="BY129" s="283"/>
      <c r="BZ129" s="283"/>
      <c r="CA129" s="283"/>
      <c r="CB129" s="283"/>
      <c r="CC129" s="275">
        <f>(0.5*LLD*LPD)+(0.66*LLD*LLRD)+(0.66*LCHD*LRD)+(0.66*FD*FRD)</f>
        <v>0</v>
      </c>
      <c r="CD129" s="98">
        <v>7.1</v>
      </c>
      <c r="CE129" s="91">
        <v>12.63</v>
      </c>
      <c r="CF129" s="91">
        <v>10.62</v>
      </c>
      <c r="CG129" s="91">
        <v>6.39</v>
      </c>
      <c r="CH129" s="266">
        <f>IF(SF&gt;0,SMG/SF*100,"")</f>
        <v>90</v>
      </c>
      <c r="CI129" s="286"/>
      <c r="CJ129" s="280">
        <f>SF*(_SL1+_SL2)/4+(SMG-SF/2)*(_SL1+_SL2)/3</f>
        <v>63.278750000000002</v>
      </c>
      <c r="CK129" s="83"/>
      <c r="CL129" s="91"/>
      <c r="CM129" s="91"/>
      <c r="CN129" s="91"/>
      <c r="CO129" s="256" t="str">
        <f>IF(SCRF&gt;0,SCRMG/SCRF*100,"")</f>
        <v/>
      </c>
      <c r="CP129" s="286"/>
      <c r="CQ129" s="256">
        <f>SCRF*(SCRL1+SCRL2)/4+(SCRMG-SCRF/2)*(SCRL1+SCRL2)/3</f>
        <v>0</v>
      </c>
      <c r="CR129" s="256" t="str">
        <f>IF(CO129&lt;'Look Ups'!$AC$4,"Yes","No")</f>
        <v>No</v>
      </c>
      <c r="CS129" s="267">
        <f>IF(CR129="Yes",MIN(150,('Look Ups'!$AC$4-PSCR)/('Look Ups'!$AC$4-'Look Ups'!$AC$3)*100),0)</f>
        <v>0</v>
      </c>
      <c r="CT129" s="83"/>
      <c r="CU129" s="91"/>
      <c r="CV129" s="91"/>
      <c r="CW129" s="91"/>
      <c r="CX129" s="256" t="str">
        <f>IF(USCRF&gt;0,USCRMG/USCRF*100,"")</f>
        <v/>
      </c>
      <c r="CY129" s="293">
        <f>IF(PUSCR&lt;'Look Ups'!$AC$4,MIN(150,('Look Ups'!$AC$4-PUSCR)/('Look Ups'!$AC$4-'Look Ups'!$AC$3)*100),0)</f>
        <v>0</v>
      </c>
      <c r="CZ129" s="275">
        <f>IF(PUSCR&lt;'Look Ups'!$AC$4,USCRF*(USCRL1+USCRL2)/4+(USCRMG-USCRF/2)*(USCRL1+USCRL2)/3,0)</f>
        <v>0</v>
      </c>
      <c r="DA129" s="294">
        <f>IF(ZVAL=1,1,IF(LPM&gt;0,0.64*((AM+MAM)/(E+(MC/2))^2)^0.3,0))</f>
        <v>1</v>
      </c>
      <c r="DB129" s="256">
        <f>0.65*((AM+MAM)*EFM)+0.35*((AM+MAM)*ZVAL)</f>
        <v>26.128152000000004</v>
      </c>
      <c r="DC129" s="256">
        <f>IF(ZVAL=1,1,IF(LPG&gt;0,0.72*(AG/(LPG^2))^0.3,0))</f>
        <v>1</v>
      </c>
      <c r="DD129" s="256">
        <f>AG*EFG</f>
        <v>13.873718999999999</v>
      </c>
      <c r="DE129" s="256">
        <f>IF(AZ129&gt;0,'Look Ups'!$S$3,0)</f>
        <v>1</v>
      </c>
      <c r="DF129" s="256">
        <f>IF(LPS&gt;0,0.72*(AS/(LPS^2))^0.3,0)</f>
        <v>0</v>
      </c>
      <c r="DG129" s="256">
        <f>EFS*AS</f>
        <v>0</v>
      </c>
      <c r="DH129" s="256">
        <f>IF(LPD&gt;0,0.72*(AD/(LPD^2))^0.3,0)</f>
        <v>0</v>
      </c>
      <c r="DI129" s="280">
        <f>IF((AD-AG)&gt;0,0.3*(AD-AG)*EFD,0)</f>
        <v>0</v>
      </c>
      <c r="DJ129" s="295" t="str">
        <f>IF((SCRF=0),"-",IF(AND(MSASC&gt;AG,SCRMG&lt;(0.75*SCRF)),"valid","ERROR"))</f>
        <v>-</v>
      </c>
      <c r="DK129" s="266" t="str">
        <f>IF((SF=0),"-",IF((SMG&lt;(0.75*SF)),"ERROR",IF(AND(MSASP&gt;MSASC,MSASP&gt;AG,MSASP&gt;=0.36*RSAM),"valid","Small")))</f>
        <v>valid</v>
      </c>
      <c r="DL129" s="267" t="str">
        <f>IF(C129="","",CONCATENATE("MG",IF(FLSCR="valid","Scr",""),IF(FLSPI="valid","SP","")))</f>
        <v>MGSP</v>
      </c>
      <c r="DM129" s="294">
        <f>RSAM+RSAG</f>
        <v>40.001871000000001</v>
      </c>
      <c r="DN129" s="256">
        <f>IF(MSASP&gt;0,'Look Ups'!$AI$4*(ZVAL*MSASP-RSAG),0)</f>
        <v>14.821509299999999</v>
      </c>
      <c r="DO129" s="256">
        <f>IF(AND(MSASC&gt;0,(MSASC&gt;=0.36*RSAM)),('Look Ups'!$AI$3*(ZVAL*MSASC-RSAG)),(0))</f>
        <v>0</v>
      </c>
      <c r="DP129" s="256">
        <f>IF(MSASP&gt;0,'Look Ups'!$AI$5*(ZVAL*MSASP-RSAG),0)</f>
        <v>13.833408680000002</v>
      </c>
      <c r="DQ129" s="256">
        <f>IF(MSASC&gt;0,'Look Ups'!$AI$6*(MSASC-RSAG),0)</f>
        <v>0</v>
      </c>
      <c r="DR129" s="280">
        <f>'Look Ups'!$AI$7*MAX(IF(MSAUSC&gt;0,EUSC/100*(MSAUSC-RSAG),0),IF(CR129="Yes",ELSC/100*(MSASC-RSAG),0))</f>
        <v>0</v>
      </c>
      <c r="DS129" s="280">
        <f>0.36*RSAM</f>
        <v>9.4061347200000007</v>
      </c>
      <c r="DT129" s="296">
        <f>_xlfn.IFS(SPC="MG",RAMG+DS129,SPC="MGScr",RAMG+RASCO,SPC="MGSp",RAMG+RASPO,SPC="MGScrSp",RAMG+RASPSC+RASCR)+RAUSC+RSAST+RSAD+RSAMZ+RSA2M</f>
        <v>54.823380299999997</v>
      </c>
      <c r="DU129" s="63"/>
    </row>
    <row r="130" spans="1:125" ht="15.6" customHeight="1" x14ac:dyDescent="0.3">
      <c r="A130" s="4"/>
      <c r="B130" s="64"/>
      <c r="C130" s="64" t="s">
        <v>1153</v>
      </c>
      <c r="D130" s="85" t="s">
        <v>1154</v>
      </c>
      <c r="E130" s="86" t="s">
        <v>1155</v>
      </c>
      <c r="F130" s="252">
        <f ca="1">IF(RW=0,0,ROUND(DLF*0.93*RL^LF*RSA^0.4/RW^0.325,3))</f>
        <v>0.82499999999999996</v>
      </c>
      <c r="G130" s="252" t="str">
        <f ca="1">IF(OR(FLSCR="ERROR",FLSPI="ERROR"),"No",IF(TODAY()-'Look Ups'!$D$4*365&gt;I130,"WP Applied","Yes"))</f>
        <v>Yes</v>
      </c>
      <c r="H130" s="253" t="str">
        <f>IF(SPC="","",CONCATENATE("Main-Genoa",IF(FLSCR="valid",IF(OR(CR130="Yes",MSAUSC&gt;0),"-Screacher (Upwind)","-Screacher"),""),IF(FLSPI="valid","-Spinnaker",""),IF(RSAMZ&gt;0,"-Mizzen",""),IF(RSA2M&gt;0,"-Second Main",""),IF(AS&gt;0,"-Staysail",""),IF(AD&gt;0,"-Drifter","")))</f>
        <v>Main-Genoa-Screacher-Spinnaker</v>
      </c>
      <c r="I130" s="1">
        <v>45317</v>
      </c>
      <c r="J130" s="1">
        <v>45317</v>
      </c>
      <c r="K130" s="87" t="s">
        <v>1156</v>
      </c>
      <c r="L130" s="87" t="s">
        <v>164</v>
      </c>
      <c r="M130" s="207"/>
      <c r="N130" s="88" t="s">
        <v>143</v>
      </c>
      <c r="O130" s="88" t="s">
        <v>144</v>
      </c>
      <c r="P130" s="100"/>
      <c r="Q130" s="90">
        <v>5.85</v>
      </c>
      <c r="R130" s="87"/>
      <c r="S130" s="256">
        <f>IF((LOAA&gt;LOA),0.025*LOAA,0.025*LOA)</f>
        <v>0.14624999999999999</v>
      </c>
      <c r="T130" s="117">
        <v>0.05</v>
      </c>
      <c r="U130" s="117">
        <v>0</v>
      </c>
      <c r="V130" s="258">
        <f>IF((_xlfn.SINGLE(LOAA)&gt;_xlfn.SINGLE(LOA)),_xlfn.SINGLE(LOAA),_xlfn.SINGLE(LOA)-_xlfn.SINGLE(FOC)-_xlfn.SINGLE(AOC))</f>
        <v>5.8</v>
      </c>
      <c r="W130" s="259">
        <f>IF(RL&gt;0,IF(RL&gt;'Look Ups'!Y$7,'Look Ups'!Y$8,('Look Ups'!Y$3*RL^3+'Look Ups'!Y$4*RL^2+'Look Ups'!Y$5*RL+'Look Ups'!Y$6)),0)</f>
        <v>0.28294269599999999</v>
      </c>
      <c r="X130" s="92">
        <v>320</v>
      </c>
      <c r="Y130" s="262">
        <f ca="1">IF(WDATE&lt;(TODAY()-'Look Ups'!$D$4*365),-WM*'Look Ups'!$D$5/100,0)</f>
        <v>0</v>
      </c>
      <c r="Z130" s="93"/>
      <c r="AA130" s="93">
        <v>178</v>
      </c>
      <c r="AB130" s="75">
        <v>2</v>
      </c>
      <c r="AC130" s="265">
        <f>WCD+NC*'Look Ups'!$AF$3</f>
        <v>186</v>
      </c>
      <c r="AD130" s="265">
        <v>178</v>
      </c>
      <c r="AE130" s="266">
        <f ca="1">WM+WP+WE</f>
        <v>320</v>
      </c>
      <c r="AF130" s="267">
        <f ca="1">_xlfn.SINGLE(WS)+IF(_xlfn.SINGLE(TCW)&gt;=_xlfn.SINGLE(CWA),_xlfn.SINGLE(CWA),_xlfn.SINGLE(TCW))</f>
        <v>498</v>
      </c>
      <c r="AG130" s="94" t="s">
        <v>145</v>
      </c>
      <c r="AH130" s="95" t="s">
        <v>146</v>
      </c>
      <c r="AI130" s="96" t="s">
        <v>147</v>
      </c>
      <c r="AJ130" s="218"/>
      <c r="AK130" s="273">
        <f>IF(C130="",0,VLOOKUP(AG130,'Look Ups'!$F$3:$G$6,2,0)*VLOOKUP(AH130,'Look Ups'!$I$3:$J$5,2,0)*VLOOKUP(AI130,'Look Ups'!$L$3:$M$7,2,0)*IF(AJ130="",1,VLOOKUP(AJ130,'Look Ups'!$O$3:$P$4,2,0)))</f>
        <v>1</v>
      </c>
      <c r="AL130" s="83">
        <v>8.27</v>
      </c>
      <c r="AM130" s="91">
        <v>8.08</v>
      </c>
      <c r="AN130" s="91">
        <v>2.16</v>
      </c>
      <c r="AO130" s="91">
        <v>0.93</v>
      </c>
      <c r="AP130" s="91">
        <v>0.375</v>
      </c>
      <c r="AQ130" s="91">
        <v>8.11</v>
      </c>
      <c r="AR130" s="91">
        <v>0</v>
      </c>
      <c r="AS130" s="91">
        <v>2.21</v>
      </c>
      <c r="AT130" s="91">
        <v>0</v>
      </c>
      <c r="AU130" s="91">
        <v>0.38</v>
      </c>
      <c r="AV130" s="91" t="s">
        <v>148</v>
      </c>
      <c r="AW130" s="97"/>
      <c r="AX130" s="256">
        <f>P+ER</f>
        <v>8.11</v>
      </c>
      <c r="AY130" s="256">
        <f>P*0.375*MC</f>
        <v>1.155675</v>
      </c>
      <c r="AZ130" s="275">
        <f>IF(C130="",0,(0.5*(_ML1*LPM)+0.5*(_ML1*HB)+0.66*(P*PR)+0.66*(_ML2*RDM)+0.66*(E*ER))*VLOOKUP(BATT,'Look Ups'!$U$3:$V$4,2,0))</f>
        <v>14.776949999999999</v>
      </c>
      <c r="BA130" s="98"/>
      <c r="BB130" s="99"/>
      <c r="BC130" s="83">
        <v>6.6</v>
      </c>
      <c r="BD130" s="91">
        <v>1.98</v>
      </c>
      <c r="BE130" s="91">
        <v>2.2000000000000002</v>
      </c>
      <c r="BF130" s="91">
        <v>0.08</v>
      </c>
      <c r="BG130" s="91">
        <v>5.97</v>
      </c>
      <c r="BH130" s="91">
        <v>5.97</v>
      </c>
      <c r="BI130" s="91"/>
      <c r="BJ130" s="91">
        <v>0</v>
      </c>
      <c r="BK130" s="91"/>
      <c r="BL130" s="97"/>
      <c r="BM130" s="275">
        <f>(0.5*LL*LPG)+(0.5*_LG1*HG)+(0.66*LL*LLRG)+(0.66*FG*FRG)+(IF((HG&gt;0),(0.66*_LG2*LRG),(0.66*_LG1*LRG)))</f>
        <v>6.6501599999999996</v>
      </c>
      <c r="BN130" s="282"/>
      <c r="BO130" s="283"/>
      <c r="BP130" s="284"/>
      <c r="BQ130" s="284"/>
      <c r="BR130" s="283"/>
      <c r="BS130" s="284"/>
      <c r="BT130" s="284"/>
      <c r="BU130" s="280">
        <f>(0.5*LLS*LPS)+(0.66*LLS*LLRS)+(0.66*LS*LRS)+(0.66*FS*FRS)</f>
        <v>0</v>
      </c>
      <c r="BV130" s="285"/>
      <c r="BW130" s="283"/>
      <c r="BX130" s="283"/>
      <c r="BY130" s="283"/>
      <c r="BZ130" s="283"/>
      <c r="CA130" s="283"/>
      <c r="CB130" s="283"/>
      <c r="CC130" s="275">
        <f>(0.5*LLD*LPD)+(0.66*LLD*LLRD)+(0.66*LCHD*LRD)+(0.66*FD*FRD)</f>
        <v>0</v>
      </c>
      <c r="CD130" s="98">
        <v>5.3</v>
      </c>
      <c r="CE130" s="91">
        <v>10.35</v>
      </c>
      <c r="CF130" s="91">
        <v>8.4700000000000006</v>
      </c>
      <c r="CG130" s="91">
        <v>5.5</v>
      </c>
      <c r="CH130" s="266">
        <f>IF(SF&gt;0,SMG/SF*100,"")</f>
        <v>103.77358490566037</v>
      </c>
      <c r="CI130" s="283"/>
      <c r="CJ130" s="280">
        <f>SF*(_SL1+_SL2)/4+(SMG-SF/2)*(_SL1+_SL2)/3</f>
        <v>42.8155</v>
      </c>
      <c r="CK130" s="83">
        <v>3.26</v>
      </c>
      <c r="CL130" s="91">
        <v>7.98</v>
      </c>
      <c r="CM130" s="91">
        <v>7.13</v>
      </c>
      <c r="CN130" s="91">
        <v>1.87</v>
      </c>
      <c r="CO130" s="256">
        <f>IF(SCRF&gt;0,SCRMG/SCRF*100,"")</f>
        <v>57.361963190184049</v>
      </c>
      <c r="CP130" s="283"/>
      <c r="CQ130" s="256">
        <f>SCRF*(SCRL1+SCRL2)/4+(SCRMG-SCRF/2)*(SCRL1+SCRL2)/3</f>
        <v>13.52345</v>
      </c>
      <c r="CR130" s="256" t="str">
        <f>IF(CO130&lt;'Look Ups'!$AC$4,"Yes","No")</f>
        <v>No</v>
      </c>
      <c r="CS130" s="267">
        <f>IF(CR130="Yes",MIN(150,('Look Ups'!$AC$4-PSCR)/('Look Ups'!$AC$4-'Look Ups'!$AC$3)*100),0)</f>
        <v>0</v>
      </c>
      <c r="CT130" s="83"/>
      <c r="CU130" s="91"/>
      <c r="CV130" s="91"/>
      <c r="CW130" s="91"/>
      <c r="CX130" s="256" t="str">
        <f>IF(USCRF&gt;0,USCRMG/USCRF*100,"")</f>
        <v/>
      </c>
      <c r="CY130" s="293">
        <f>IF(PUSCR&lt;'Look Ups'!$AC$4,MIN(150,('Look Ups'!$AC$4-PUSCR)/('Look Ups'!$AC$4-'Look Ups'!$AC$3)*100),0)</f>
        <v>0</v>
      </c>
      <c r="CZ130" s="275">
        <f>IF(PUSCR&lt;'Look Ups'!$AC$4,USCRF*(USCRL1+USCRL2)/4+(USCRMG-USCRF/2)*(USCRL1+USCRL2)/3,0)</f>
        <v>0</v>
      </c>
      <c r="DA130" s="294">
        <f>IF(ZVAL=1,1,IF(LPM&gt;0,0.64*((AM+MAM)/(E+(MC/2))^2)^0.3,0))</f>
        <v>1</v>
      </c>
      <c r="DB130" s="256">
        <f>0.65*((AM+MAM)*EFM)+0.35*((AM+MAM)*ZVAL)</f>
        <v>15.932624999999998</v>
      </c>
      <c r="DC130" s="256">
        <f>IF(ZVAL=1,1,IF(LPG&gt;0,0.72*(AG/(LPG^2))^0.3,0))</f>
        <v>1</v>
      </c>
      <c r="DD130" s="256">
        <f>AG*EFG</f>
        <v>6.6501599999999996</v>
      </c>
      <c r="DE130" s="256">
        <f>IF(AZ130&gt;0,'Look Ups'!$S$3,0)</f>
        <v>1</v>
      </c>
      <c r="DF130" s="256">
        <f>IF(LPS&gt;0,0.72*(AS/(LPS^2))^0.3,0)</f>
        <v>0</v>
      </c>
      <c r="DG130" s="256">
        <f>EFS*AS</f>
        <v>0</v>
      </c>
      <c r="DH130" s="256">
        <f>IF(LPD&gt;0,0.72*(AD/(LPD^2))^0.3,0)</f>
        <v>0</v>
      </c>
      <c r="DI130" s="280">
        <f>IF((AD-AG)&gt;0,0.3*(AD-AG)*EFD,0)</f>
        <v>0</v>
      </c>
      <c r="DJ130" s="295" t="str">
        <f>IF((SCRF=0),"-",IF(AND(MSASC&gt;AG,SCRMG&lt;(0.75*SCRF)),"valid","ERROR"))</f>
        <v>valid</v>
      </c>
      <c r="DK130" s="266" t="str">
        <f>IF((SF=0),"-",IF((SMG&lt;(0.75*SF)),"ERROR",IF(AND(MSASP&gt;MSASC,MSASP&gt;AG,MSASP&gt;=0.36*RSAM),"valid","Small")))</f>
        <v>valid</v>
      </c>
      <c r="DL130" s="267" t="str">
        <f>IF(C130="","",CONCATENATE("MG",IF(FLSCR="valid","Scr",""),IF(FLSPI="valid","SP","")))</f>
        <v>MGScrSP</v>
      </c>
      <c r="DM130" s="294">
        <f>RSAM+RSAG</f>
        <v>22.582784999999998</v>
      </c>
      <c r="DN130" s="256">
        <f>IF(MSASP&gt;0,'Look Ups'!$AI$4*(ZVAL*MSASP-RSAG),0)</f>
        <v>10.849601999999999</v>
      </c>
      <c r="DO130" s="256">
        <f>IF(AND(MSASC&gt;0,(MSASC&gt;=0.36*RSAM)),('Look Ups'!$AI$3*(ZVAL*MSASC-RSAG)),(0))</f>
        <v>2.4056515000000003</v>
      </c>
      <c r="DP130" s="256">
        <f>IF(MSASP&gt;0,'Look Ups'!$AI$5*(ZVAL*MSASP-RSAG),0)</f>
        <v>10.126295200000001</v>
      </c>
      <c r="DQ130" s="256">
        <f>IF(MSASC&gt;0,'Look Ups'!$AI$6*(MSASC-RSAG),0)</f>
        <v>0.48113030000000012</v>
      </c>
      <c r="DR130" s="280">
        <f>'Look Ups'!$AI$7*MAX(IF(MSAUSC&gt;0,EUSC/100*(MSAUSC-RSAG),0),IF(CR130="Yes",ELSC/100*(MSASC-RSAG),0))</f>
        <v>0</v>
      </c>
      <c r="DS130" s="280">
        <f>0.36*RSAM</f>
        <v>5.7357449999999988</v>
      </c>
      <c r="DT130" s="296">
        <f>_xlfn.IFS(SPC="MG",RAMG+DS130,SPC="MGScr",RAMG+RASCO,SPC="MGSp",RAMG+RASPO,SPC="MGScrSp",RAMG+RASPSC+RASCR)+RAUSC+RSAST+RSAD+RSAMZ+RSA2M</f>
        <v>33.190210499999999</v>
      </c>
      <c r="DU130" s="63"/>
    </row>
    <row r="131" spans="1:125" ht="15.6" customHeight="1" x14ac:dyDescent="0.3">
      <c r="A131" s="4"/>
      <c r="B131" s="64"/>
      <c r="C131" s="64" t="s">
        <v>521</v>
      </c>
      <c r="D131" s="101" t="s">
        <v>397</v>
      </c>
      <c r="E131" s="86" t="s">
        <v>522</v>
      </c>
      <c r="F131" s="252">
        <f ca="1">IF(RW=0,0,ROUND(DLF*0.93*RL^LF*RSA^0.4/RW^0.325,3))</f>
        <v>0.84499999999999997</v>
      </c>
      <c r="G131" s="252" t="str">
        <f ca="1">IF(OR(FLSCR="ERROR",FLSPI="ERROR"),"No",IF(TODAY()-'Look Ups'!$D$4*365&gt;I131,"WP Applied","Yes"))</f>
        <v>Yes</v>
      </c>
      <c r="H131" s="253" t="str">
        <f>IF(SPC="","",CONCATENATE("Main-Genoa",IF(FLSCR="valid",IF(OR(CR131="Yes",MSAUSC&gt;0),"-Screacher (Upwind)","-Screacher"),""),IF(FLSPI="valid","-Spinnaker",""),IF(RSAMZ&gt;0,"-Mizzen",""),IF(RSA2M&gt;0,"-Second Main",""),IF(AS&gt;0,"-Staysail",""),IF(AD&gt;0,"-Drifter","")))</f>
        <v>Main-Genoa-Screacher (Upwind)-Spinnaker</v>
      </c>
      <c r="I131" s="1">
        <v>45403</v>
      </c>
      <c r="J131" s="1">
        <v>45403</v>
      </c>
      <c r="K131" s="87" t="s">
        <v>479</v>
      </c>
      <c r="L131" s="87" t="s">
        <v>164</v>
      </c>
      <c r="M131" s="207"/>
      <c r="N131" s="88" t="s">
        <v>143</v>
      </c>
      <c r="O131" s="88" t="s">
        <v>144</v>
      </c>
      <c r="P131" s="102"/>
      <c r="Q131" s="90">
        <v>7.3</v>
      </c>
      <c r="R131" s="87"/>
      <c r="S131" s="256">
        <f>IF((LOAA&gt;LOA),0.025*LOAA,0.025*LOA)</f>
        <v>0.1825</v>
      </c>
      <c r="T131" s="91">
        <v>0.01</v>
      </c>
      <c r="U131" s="91"/>
      <c r="V131" s="258">
        <f>IF((_xlfn.SINGLE(LOAA)&gt;_xlfn.SINGLE(LOA)),_xlfn.SINGLE(LOAA),_xlfn.SINGLE(LOA)-_xlfn.SINGLE(FOC)-_xlfn.SINGLE(AOC))</f>
        <v>7.29</v>
      </c>
      <c r="W131" s="259">
        <f>IF(RL&gt;0,IF(RL&gt;'Look Ups'!Y$7,'Look Ups'!Y$8,('Look Ups'!Y$3*RL^3+'Look Ups'!Y$4*RL^2+'Look Ups'!Y$5*RL+'Look Ups'!Y$6)),0)</f>
        <v>0.29103813613700003</v>
      </c>
      <c r="X131" s="92">
        <v>987</v>
      </c>
      <c r="Y131" s="262">
        <f ca="1">IF(WDATE&lt;(TODAY()-'Look Ups'!$D$4*365),-WM*'Look Ups'!$D$5/100,0)</f>
        <v>0</v>
      </c>
      <c r="Z131" s="93"/>
      <c r="AA131" s="93"/>
      <c r="AB131" s="75"/>
      <c r="AC131" s="265">
        <f>WCD+NC*'Look Ups'!$AF$3</f>
        <v>0</v>
      </c>
      <c r="AD131" s="265">
        <f ca="1">IF(RL&lt;'Look Ups'!AM$3,'Look Ups'!AM$4,IF(RL&gt;'Look Ups'!AM$5,'Look Ups'!AM$6,(RL-'Look Ups'!AM$3)/('Look Ups'!AM$5-'Look Ups'!AM$3)*('Look Ups'!AM$6-'Look Ups'!AM$4)+'Look Ups'!AM$4))/100*WS</f>
        <v>274.92436363636364</v>
      </c>
      <c r="AE131" s="266">
        <f ca="1">WM+WP+WE</f>
        <v>987</v>
      </c>
      <c r="AF131" s="267">
        <f ca="1">_xlfn.SINGLE(WS)+IF(_xlfn.SINGLE(TCW)&gt;=_xlfn.SINGLE(CWA),_xlfn.SINGLE(CWA),_xlfn.SINGLE(TCW))</f>
        <v>987</v>
      </c>
      <c r="AG131" s="94" t="s">
        <v>145</v>
      </c>
      <c r="AH131" s="95" t="s">
        <v>146</v>
      </c>
      <c r="AI131" s="96" t="s">
        <v>147</v>
      </c>
      <c r="AJ131" s="218"/>
      <c r="AK131" s="273">
        <f>IF(C131="",0,VLOOKUP(AG131,'Look Ups'!$F$3:$G$6,2,0)*VLOOKUP(AH131,'Look Ups'!$I$3:$J$5,2,0)*VLOOKUP(AI131,'Look Ups'!$L$3:$M$7,2,0)*IF(AJ131="",1,VLOOKUP(AJ131,'Look Ups'!$O$3:$P$4,2,0)))</f>
        <v>1</v>
      </c>
      <c r="AL131" s="83">
        <v>10.185</v>
      </c>
      <c r="AM131" s="91">
        <v>10.050000000000001</v>
      </c>
      <c r="AN131" s="91">
        <v>3.01</v>
      </c>
      <c r="AO131" s="91">
        <v>1.2350000000000001</v>
      </c>
      <c r="AP131" s="91">
        <v>0.185</v>
      </c>
      <c r="AQ131" s="91">
        <v>9.52</v>
      </c>
      <c r="AR131" s="91">
        <v>2.1999999999999999E-2</v>
      </c>
      <c r="AS131" s="91">
        <v>3.24</v>
      </c>
      <c r="AT131" s="91">
        <v>0.05</v>
      </c>
      <c r="AU131" s="91">
        <v>0.49</v>
      </c>
      <c r="AV131" s="91" t="s">
        <v>148</v>
      </c>
      <c r="AW131" s="97"/>
      <c r="AX131" s="256">
        <f>P+ER</f>
        <v>9.57</v>
      </c>
      <c r="AY131" s="256">
        <f>P*0.375*MC</f>
        <v>1.7492999999999999</v>
      </c>
      <c r="AZ131" s="275">
        <f>IF(C131="",0,(0.5*(_ML1*LPM)+0.5*(_ML1*HB)+0.66*(P*PR)+0.66*(_ML2*RDM)+0.66*(E*ER))*VLOOKUP(BATT,'Look Ups'!$U$3:$V$4,2,0))</f>
        <v>23.089917900000003</v>
      </c>
      <c r="BA131" s="98"/>
      <c r="BB131" s="99"/>
      <c r="BC131" s="83">
        <v>7.7350000000000003</v>
      </c>
      <c r="BD131" s="91">
        <v>2.7</v>
      </c>
      <c r="BE131" s="91">
        <v>3</v>
      </c>
      <c r="BF131" s="91">
        <v>0.20499999999999999</v>
      </c>
      <c r="BG131" s="91">
        <v>6.9749999999999996</v>
      </c>
      <c r="BH131" s="91">
        <v>6.9649999999999999</v>
      </c>
      <c r="BI131" s="91">
        <v>0.27500000000000002</v>
      </c>
      <c r="BJ131" s="91">
        <v>0.1</v>
      </c>
      <c r="BK131" s="91">
        <v>0.02</v>
      </c>
      <c r="BL131" s="97"/>
      <c r="BM131" s="275">
        <f>(0.5*LL*LPG)+(0.5*_LG1*HG)+(0.66*LL*LLRG)+(0.66*FG*FRG)+(IF((HG&gt;0),(0.66*_LG2*LRG),(0.66*_LG1*LRG)))</f>
        <v>12.369004500000003</v>
      </c>
      <c r="BN131" s="282"/>
      <c r="BO131" s="283"/>
      <c r="BP131" s="284"/>
      <c r="BQ131" s="284"/>
      <c r="BR131" s="283"/>
      <c r="BS131" s="284"/>
      <c r="BT131" s="284"/>
      <c r="BU131" s="280">
        <f>(0.5*LLS*LPS)+(0.66*LLS*LLRS)+(0.66*LS*LRS)+(0.66*FS*FRS)</f>
        <v>0</v>
      </c>
      <c r="BV131" s="285"/>
      <c r="BW131" s="283"/>
      <c r="BX131" s="283"/>
      <c r="BY131" s="283"/>
      <c r="BZ131" s="283"/>
      <c r="CA131" s="283"/>
      <c r="CB131" s="283"/>
      <c r="CC131" s="275">
        <f>(0.5*LLD*LPD)+(0.66*LLD*LLRD)+(0.66*LCHD*LRD)+(0.66*FD*FRD)</f>
        <v>0</v>
      </c>
      <c r="CD131" s="98">
        <v>6.74</v>
      </c>
      <c r="CE131" s="91">
        <v>11.87</v>
      </c>
      <c r="CF131" s="91">
        <v>10.44</v>
      </c>
      <c r="CG131" s="91">
        <v>5.63</v>
      </c>
      <c r="CH131" s="266">
        <f>IF(SF&gt;0,SMG/SF*100,"")</f>
        <v>83.531157270029667</v>
      </c>
      <c r="CI131" s="286"/>
      <c r="CJ131" s="280">
        <f>SF*(_SL1+_SL2)/4+(SMG-SF/2)*(_SL1+_SL2)/3</f>
        <v>54.399216666666661</v>
      </c>
      <c r="CK131" s="83">
        <v>5.29</v>
      </c>
      <c r="CL131" s="91">
        <v>10.145</v>
      </c>
      <c r="CM131" s="91">
        <v>9.06</v>
      </c>
      <c r="CN131" s="91">
        <v>2.73</v>
      </c>
      <c r="CO131" s="256">
        <f>IF(SCRF&gt;0,SCRMG/SCRF*100,"")</f>
        <v>51.606805293005678</v>
      </c>
      <c r="CP131" s="286"/>
      <c r="CQ131" s="256">
        <f>SCRF*(SCRL1+SCRL2)/4+(SCRMG-SCRF/2)*(SCRL1+SCRL2)/3</f>
        <v>25.942754166666663</v>
      </c>
      <c r="CR131" s="256" t="str">
        <f>IF(CO131&lt;'Look Ups'!$AC$4,"Yes","No")</f>
        <v>Yes</v>
      </c>
      <c r="CS131" s="267">
        <f>IF(CR131="Yes",MIN(150,('Look Ups'!$AC$4-PSCR)/('Look Ups'!$AC$4-'Look Ups'!$AC$3)*100),0)</f>
        <v>7.8638941398864404</v>
      </c>
      <c r="CT131" s="83"/>
      <c r="CU131" s="91"/>
      <c r="CV131" s="91"/>
      <c r="CW131" s="91"/>
      <c r="CX131" s="256" t="str">
        <f>IF(USCRF&gt;0,USCRMG/USCRF*100,"")</f>
        <v/>
      </c>
      <c r="CY131" s="293">
        <f>IF(PUSCR&lt;'Look Ups'!$AC$4,MIN(150,('Look Ups'!$AC$4-PUSCR)/('Look Ups'!$AC$4-'Look Ups'!$AC$3)*100),0)</f>
        <v>0</v>
      </c>
      <c r="CZ131" s="275">
        <f>IF(PUSCR&lt;'Look Ups'!$AC$4,USCRF*(USCRL1+USCRL2)/4+(USCRMG-USCRF/2)*(USCRL1+USCRL2)/3,0)</f>
        <v>0</v>
      </c>
      <c r="DA131" s="294">
        <f>IF(ZVAL=1,1,IF(LPM&gt;0,0.64*((AM+MAM)/(E+(MC/2))^2)^0.3,0))</f>
        <v>1</v>
      </c>
      <c r="DB131" s="256">
        <f>0.65*((AM+MAM)*EFM)+0.35*((AM+MAM)*ZVAL)</f>
        <v>24.839217900000001</v>
      </c>
      <c r="DC131" s="256">
        <f>IF(ZVAL=1,1,IF(LPG&gt;0,0.72*(AG/(LPG^2))^0.3,0))</f>
        <v>1</v>
      </c>
      <c r="DD131" s="256">
        <f>AG*EFG</f>
        <v>12.369004500000003</v>
      </c>
      <c r="DE131" s="256">
        <f>IF(AZ131&gt;0,'Look Ups'!$S$3,0)</f>
        <v>1</v>
      </c>
      <c r="DF131" s="256">
        <f>IF(LPS&gt;0,0.72*(AS/(LPS^2))^0.3,0)</f>
        <v>0</v>
      </c>
      <c r="DG131" s="256">
        <f>EFS*AS</f>
        <v>0</v>
      </c>
      <c r="DH131" s="256">
        <f>IF(LPD&gt;0,0.72*(AD/(LPD^2))^0.3,0)</f>
        <v>0</v>
      </c>
      <c r="DI131" s="280">
        <f>IF((AD-AG)&gt;0,0.3*(AD-AG)*EFD,0)</f>
        <v>0</v>
      </c>
      <c r="DJ131" s="295" t="str">
        <f>IF((SCRF=0),"-",IF(AND(MSASC&gt;AG,SCRMG&lt;(0.75*SCRF)),"valid","ERROR"))</f>
        <v>valid</v>
      </c>
      <c r="DK131" s="266" t="str">
        <f>IF((SF=0),"-",IF((SMG&lt;(0.75*SF)),"ERROR",IF(AND(MSASP&gt;MSASC,MSASP&gt;AG,MSASP&gt;=0.36*RSAM),"valid","Small")))</f>
        <v>valid</v>
      </c>
      <c r="DL131" s="267" t="str">
        <f>IF(C131="","",CONCATENATE("MG",IF(FLSCR="valid","Scr",""),IF(FLSPI="valid","SP","")))</f>
        <v>MGScrSP</v>
      </c>
      <c r="DM131" s="294">
        <f>RSAM+RSAG</f>
        <v>37.208222400000004</v>
      </c>
      <c r="DN131" s="256">
        <f>IF(MSASP&gt;0,'Look Ups'!$AI$4*(ZVAL*MSASP-RSAG),0)</f>
        <v>12.609063649999998</v>
      </c>
      <c r="DO131" s="256">
        <f>IF(AND(MSASC&gt;0,(MSASC&gt;=0.36*RSAM)),('Look Ups'!$AI$3*(ZVAL*MSASC-RSAG)),(0))</f>
        <v>4.7508123833333311</v>
      </c>
      <c r="DP131" s="256">
        <f>IF(MSASP&gt;0,'Look Ups'!$AI$5*(ZVAL*MSASP-RSAG),0)</f>
        <v>11.768459406666665</v>
      </c>
      <c r="DQ131" s="256">
        <f>IF(MSASC&gt;0,'Look Ups'!$AI$6*(MSASC-RSAG),0)</f>
        <v>0.95016247666666631</v>
      </c>
      <c r="DR131" s="280">
        <f>'Look Ups'!$AI$7*MAX(IF(MSAUSC&gt;0,EUSC/100*(MSAUSC-RSAG),0),IF(CR131="Yes",ELSC/100*(MSASC-RSAG),0))</f>
        <v>0.26685632614996369</v>
      </c>
      <c r="DS131" s="280">
        <f>0.36*RSAM</f>
        <v>8.9421184440000001</v>
      </c>
      <c r="DT131" s="296">
        <f>_xlfn.IFS(SPC="MG",RAMG+DS131,SPC="MGScr",RAMG+RASCO,SPC="MGSp",RAMG+RASPO,SPC="MGScrSp",RAMG+RASPSC+RASCR)+RAUSC+RSAST+RSAD+RSAMZ+RSA2M</f>
        <v>50.193700609483301</v>
      </c>
      <c r="DU131" s="63"/>
    </row>
    <row r="132" spans="1:125" ht="15.6" customHeight="1" x14ac:dyDescent="0.3">
      <c r="A132" s="4"/>
      <c r="B132" s="64"/>
      <c r="C132" s="64" t="s">
        <v>523</v>
      </c>
      <c r="D132" s="85" t="s">
        <v>524</v>
      </c>
      <c r="E132" s="86" t="s">
        <v>525</v>
      </c>
      <c r="F132" s="252">
        <f ca="1">IF(RW=0,0,ROUND(DLF*0.93*RL^LF*RSA^0.4/RW^0.325,3))</f>
        <v>1.0780000000000001</v>
      </c>
      <c r="G132" s="252" t="str">
        <f ca="1">IF(OR(FLSCR="ERROR",FLSPI="ERROR"),"No",IF(TODAY()-'Look Ups'!$D$4*365&gt;I132,"WP Applied","Yes"))</f>
        <v>Yes</v>
      </c>
      <c r="H132" s="253" t="str">
        <f>IF(SPC="","",CONCATENATE("Main-Genoa",IF(FLSCR="valid",IF(OR(CR132="Yes",MSAUSC&gt;0),"-Screacher (Upwind)","-Screacher"),""),IF(FLSPI="valid","-Spinnaker",""),IF(RSAMZ&gt;0,"-Mizzen",""),IF(RSA2M&gt;0,"-Second Main",""),IF(AS&gt;0,"-Staysail",""),IF(AD&gt;0,"-Drifter","")))</f>
        <v>Main-Genoa-Screacher (Upwind)-Spinnaker</v>
      </c>
      <c r="I132" s="1">
        <v>43006</v>
      </c>
      <c r="J132" s="1">
        <v>43006</v>
      </c>
      <c r="K132" s="87" t="s">
        <v>186</v>
      </c>
      <c r="L132" s="87" t="s">
        <v>142</v>
      </c>
      <c r="M132" s="207"/>
      <c r="N132" s="88" t="s">
        <v>143</v>
      </c>
      <c r="O132" s="88" t="s">
        <v>144</v>
      </c>
      <c r="P132" s="100"/>
      <c r="Q132" s="90">
        <v>9.1</v>
      </c>
      <c r="R132" s="87"/>
      <c r="S132" s="256">
        <f>IF((LOAA&gt;LOA),0.025*LOAA,0.025*LOA)</f>
        <v>0.22750000000000001</v>
      </c>
      <c r="T132" s="91">
        <v>7.0000000000000007E-2</v>
      </c>
      <c r="U132" s="91"/>
      <c r="V132" s="258">
        <f>IF((_xlfn.SINGLE(LOAA)&gt;_xlfn.SINGLE(LOA)),_xlfn.SINGLE(LOAA),_xlfn.SINGLE(LOA)-_xlfn.SINGLE(FOC)-_xlfn.SINGLE(AOC))</f>
        <v>9.0299999999999994</v>
      </c>
      <c r="W132" s="259">
        <f>IF(RL&gt;0,IF(RL&gt;'Look Ups'!Y$7,'Look Ups'!Y$8,('Look Ups'!Y$3*RL^3+'Look Ups'!Y$4*RL^2+'Look Ups'!Y$5*RL+'Look Ups'!Y$6)),0)</f>
        <v>0.29672611279100003</v>
      </c>
      <c r="X132" s="92">
        <v>1285</v>
      </c>
      <c r="Y132" s="262">
        <f ca="1">IF(WDATE&lt;(TODAY()-'Look Ups'!$D$4*365),-WM*'Look Ups'!$D$5/100,0)</f>
        <v>0</v>
      </c>
      <c r="Z132" s="93"/>
      <c r="AA132" s="93"/>
      <c r="AB132" s="75"/>
      <c r="AC132" s="265">
        <f>WCD+NC*'Look Ups'!$AF$3</f>
        <v>0</v>
      </c>
      <c r="AD132" s="265">
        <f ca="1">IF(RL&lt;'Look Ups'!AM$3,'Look Ups'!AM$4,IF(RL&gt;'Look Ups'!AM$5,'Look Ups'!AM$6,(RL-'Look Ups'!AM$3)/('Look Ups'!AM$5-'Look Ups'!AM$3)*('Look Ups'!AM$6-'Look Ups'!AM$4)+'Look Ups'!AM$4))/100*WS</f>
        <v>276.6254545454546</v>
      </c>
      <c r="AE132" s="266">
        <f ca="1">WM+WP+WE</f>
        <v>1285</v>
      </c>
      <c r="AF132" s="267">
        <f ca="1">_xlfn.SINGLE(WS)+IF(_xlfn.SINGLE(TCW)&gt;=_xlfn.SINGLE(CWA),_xlfn.SINGLE(CWA),_xlfn.SINGLE(TCW))</f>
        <v>1285</v>
      </c>
      <c r="AG132" s="94" t="s">
        <v>145</v>
      </c>
      <c r="AH132" s="95" t="s">
        <v>146</v>
      </c>
      <c r="AI132" s="96" t="s">
        <v>147</v>
      </c>
      <c r="AJ132" s="218"/>
      <c r="AK132" s="273">
        <f>IF(C132="",0,VLOOKUP(AG132,'Look Ups'!$F$3:$G$6,2,0)*VLOOKUP(AH132,'Look Ups'!$I$3:$J$5,2,0)*VLOOKUP(AI132,'Look Ups'!$L$3:$M$7,2,0)*IF(AJ132="",1,VLOOKUP(AJ132,'Look Ups'!$O$3:$P$4,2,0)))</f>
        <v>1</v>
      </c>
      <c r="AL132" s="83">
        <v>13.87</v>
      </c>
      <c r="AM132" s="91">
        <v>13.76</v>
      </c>
      <c r="AN132" s="91">
        <v>3.36</v>
      </c>
      <c r="AO132" s="91">
        <v>1.05</v>
      </c>
      <c r="AP132" s="91">
        <v>0.74</v>
      </c>
      <c r="AQ132" s="91">
        <v>13.26</v>
      </c>
      <c r="AR132" s="91">
        <v>0</v>
      </c>
      <c r="AS132" s="91">
        <v>3.56</v>
      </c>
      <c r="AT132" s="91">
        <v>0.12</v>
      </c>
      <c r="AU132" s="91">
        <v>0.60000000000000009</v>
      </c>
      <c r="AV132" s="91" t="s">
        <v>148</v>
      </c>
      <c r="AW132" s="97" t="s">
        <v>526</v>
      </c>
      <c r="AX132" s="256">
        <f>P+ER</f>
        <v>13.379999999999999</v>
      </c>
      <c r="AY132" s="256">
        <f>P*0.375*MC</f>
        <v>2.9835000000000007</v>
      </c>
      <c r="AZ132" s="275">
        <f>IF(C132="",0,(0.5*(_ML1*LPM)+0.5*(_ML1*HB)+0.66*(P*PR)+0.66*(_ML2*RDM)+0.66*(E*ER))*VLOOKUP(BATT,'Look Ups'!$U$3:$V$4,2,0))</f>
        <v>37.585685999999995</v>
      </c>
      <c r="BA132" s="98"/>
      <c r="BB132" s="99"/>
      <c r="BC132" s="83">
        <v>12.96</v>
      </c>
      <c r="BD132" s="91">
        <v>3.92</v>
      </c>
      <c r="BE132" s="91">
        <v>3.85</v>
      </c>
      <c r="BF132" s="91">
        <v>0.2</v>
      </c>
      <c r="BG132" s="91">
        <v>11.7</v>
      </c>
      <c r="BH132" s="91">
        <v>11.66</v>
      </c>
      <c r="BI132" s="91">
        <v>0.15</v>
      </c>
      <c r="BJ132" s="91">
        <v>0.02</v>
      </c>
      <c r="BK132" s="91">
        <v>-0.05</v>
      </c>
      <c r="BL132" s="97">
        <v>0</v>
      </c>
      <c r="BM132" s="275">
        <f>(0.5*LL*LPG)+(0.5*_LG1*HG)+(0.66*LL*LLRG)+(0.66*FG*FRG)+(IF((HG&gt;0),(0.66*_LG2*LRG),(0.66*_LG1*LRG)))</f>
        <v>26.513532000000001</v>
      </c>
      <c r="BN132" s="282"/>
      <c r="BO132" s="283"/>
      <c r="BP132" s="284"/>
      <c r="BQ132" s="284"/>
      <c r="BR132" s="283"/>
      <c r="BS132" s="284"/>
      <c r="BT132" s="284"/>
      <c r="BU132" s="280">
        <f>(0.5*LLS*LPS)+(0.66*LLS*LLRS)+(0.66*LS*LRS)+(0.66*FS*FRS)</f>
        <v>0</v>
      </c>
      <c r="BV132" s="285"/>
      <c r="BW132" s="283"/>
      <c r="BX132" s="283"/>
      <c r="BY132" s="283"/>
      <c r="BZ132" s="283"/>
      <c r="CA132" s="283"/>
      <c r="CB132" s="283"/>
      <c r="CC132" s="275">
        <f>(0.5*LLD*LPD)+(0.66*LLD*LLRD)+(0.66*LCHD*LRD)+(0.66*FD*FRD)</f>
        <v>0</v>
      </c>
      <c r="CD132" s="98">
        <v>10.17</v>
      </c>
      <c r="CE132" s="91">
        <v>16.899999999999999</v>
      </c>
      <c r="CF132" s="91">
        <v>13.9</v>
      </c>
      <c r="CG132" s="91">
        <v>7.63</v>
      </c>
      <c r="CH132" s="256">
        <f>IF(SF&gt;0,SMG/SF*100,"")</f>
        <v>75.024582104228116</v>
      </c>
      <c r="CI132" s="283"/>
      <c r="CJ132" s="280">
        <f>SF*(_SL1+_SL2)/4+(SMG-SF/2)*(_SL1+_SL2)/3</f>
        <v>104.43766666666666</v>
      </c>
      <c r="CK132" s="83">
        <v>9.7799999999999994</v>
      </c>
      <c r="CL132" s="122">
        <v>16.45</v>
      </c>
      <c r="CM132" s="122">
        <v>13.87</v>
      </c>
      <c r="CN132" s="122">
        <v>4.9800000000000004</v>
      </c>
      <c r="CO132" s="256">
        <f>IF(SCRF&gt;0,SCRMG/SCRF*100,"")</f>
        <v>50.920245398773012</v>
      </c>
      <c r="CP132" s="283"/>
      <c r="CQ132" s="256">
        <f>SCRF*(SCRL1+SCRL2)/4+(SCRMG-SCRF/2)*(SCRL1+SCRL2)/3</f>
        <v>75.042000000000002</v>
      </c>
      <c r="CR132" s="256" t="str">
        <f>IF(CO132&lt;'Look Ups'!$AC$4,"Yes","No")</f>
        <v>Yes</v>
      </c>
      <c r="CS132" s="267">
        <f>IF(CR132="Yes",MIN(150,('Look Ups'!$AC$4-PSCR)/('Look Ups'!$AC$4-'Look Ups'!$AC$3)*100),0)</f>
        <v>21.595092024539753</v>
      </c>
      <c r="CT132" s="83"/>
      <c r="CU132" s="122"/>
      <c r="CV132" s="122"/>
      <c r="CW132" s="122"/>
      <c r="CX132" s="256" t="str">
        <f>IF(USCRF&gt;0,USCRMG/USCRF*100,"")</f>
        <v/>
      </c>
      <c r="CY132" s="293">
        <f>IF(PUSCR&lt;'Look Ups'!$AC$4,MIN(150,('Look Ups'!$AC$4-PUSCR)/('Look Ups'!$AC$4-'Look Ups'!$AC$3)*100),0)</f>
        <v>0</v>
      </c>
      <c r="CZ132" s="275">
        <f>IF(PUSCR&lt;'Look Ups'!$AC$4,USCRF*(USCRL1+USCRL2)/4+(USCRMG-USCRF/2)*(USCRL1+USCRL2)/3,0)</f>
        <v>0</v>
      </c>
      <c r="DA132" s="294">
        <f>IF(ZVAL=1,1,IF(LPM&gt;0,0.64*((AM+MAM)/(E+(MC/2))^2)^0.3,0))</f>
        <v>1</v>
      </c>
      <c r="DB132" s="256">
        <f>0.65*((AM+MAM)*EFM)+0.35*((AM+MAM)*ZVAL)</f>
        <v>40.569185999999995</v>
      </c>
      <c r="DC132" s="256">
        <f>IF(ZVAL=1,1,IF(LPG&gt;0,0.72*(AG/(LPG^2))^0.3,0))</f>
        <v>1</v>
      </c>
      <c r="DD132" s="256">
        <f>AG*EFG</f>
        <v>26.513532000000001</v>
      </c>
      <c r="DE132" s="256">
        <f>IF(AZ132&gt;0,'Look Ups'!$S$3,0)</f>
        <v>1</v>
      </c>
      <c r="DF132" s="256">
        <f>IF(LPS&gt;0,0.72*(AS/(LPS^2))^0.3,0)</f>
        <v>0</v>
      </c>
      <c r="DG132" s="256">
        <f>EFS*AS</f>
        <v>0</v>
      </c>
      <c r="DH132" s="256">
        <f>IF(LPD&gt;0,0.72*(AD/(LPD^2))^0.3,0)</f>
        <v>0</v>
      </c>
      <c r="DI132" s="280">
        <f>IF((AD-AG)&gt;0,0.3*(AD-AG)*EFD,0)</f>
        <v>0</v>
      </c>
      <c r="DJ132" s="295" t="str">
        <f>IF((SCRF=0),"-",IF(AND(MSASC&gt;AG,SCRMG&lt;(0.75*SCRF)),"valid","ERROR"))</f>
        <v>valid</v>
      </c>
      <c r="DK132" s="266" t="str">
        <f>IF((SF=0),"-",IF((SMG&lt;(0.75*SF)),"ERROR",IF(AND(MSASP&gt;MSASC,MSASP&gt;AG,MSASP&gt;=0.36*RSAM),"valid","Small")))</f>
        <v>valid</v>
      </c>
      <c r="DL132" s="267" t="str">
        <f>IF(C132="","",CONCATENATE("MG",IF(FLSCR="valid","Scr",""),IF(FLSPI="valid","SP","")))</f>
        <v>MGScrSP</v>
      </c>
      <c r="DM132" s="294">
        <f>RSAM+RSAG</f>
        <v>67.082718</v>
      </c>
      <c r="DN132" s="256">
        <f>IF(MSASP&gt;0,'Look Ups'!$AI$4*(ZVAL*MSASP-RSAG),0)</f>
        <v>23.377240399999998</v>
      </c>
      <c r="DO132" s="256">
        <f>IF(AND(MSASC&gt;0,(MSASC&gt;=0.36*RSAM)),('Look Ups'!$AI$3*(ZVAL*MSASC-RSAG)),(0))</f>
        <v>16.984963799999999</v>
      </c>
      <c r="DP132" s="256">
        <f>IF(MSASP&gt;0,'Look Ups'!$AI$5*(ZVAL*MSASP-RSAG),0)</f>
        <v>21.818757706666666</v>
      </c>
      <c r="DQ132" s="256">
        <f>IF(MSASC&gt;0,'Look Ups'!$AI$6*(MSASC-RSAG),0)</f>
        <v>3.3969927600000007</v>
      </c>
      <c r="DR132" s="280">
        <f>'Look Ups'!$AI$7*MAX(IF(MSAUSC&gt;0,EUSC/100*(MSAUSC-RSAG),0),IF(CR132="Yes",ELSC/100*(MSASC-RSAG),0))</f>
        <v>2.6199418306748319</v>
      </c>
      <c r="DS132" s="280">
        <f>0.36*RSAM</f>
        <v>14.604906959999997</v>
      </c>
      <c r="DT132" s="296">
        <f>_xlfn.IFS(SPC="MG",RAMG+DS132,SPC="MGScr",RAMG+RASCO,SPC="MGSp",RAMG+RASPO,SPC="MGScrSp",RAMG+RASPSC+RASCR)+RAUSC+RSAST+RSAD+RSAMZ+RSA2M</f>
        <v>94.918410297341509</v>
      </c>
      <c r="DU132" s="63"/>
    </row>
    <row r="133" spans="1:125" ht="15.6" customHeight="1" x14ac:dyDescent="0.3">
      <c r="A133" s="4"/>
      <c r="B133" s="64"/>
      <c r="C133" s="64" t="s">
        <v>527</v>
      </c>
      <c r="D133" s="101" t="s">
        <v>528</v>
      </c>
      <c r="E133" s="86" t="s">
        <v>1172</v>
      </c>
      <c r="F133" s="252">
        <f ca="1">IF(RW=0,0,ROUND(DLF*0.93*RL^LF*RSA^0.4/RW^0.325,3))</f>
        <v>1.0129999999999999</v>
      </c>
      <c r="G133" s="252" t="str">
        <f ca="1">IF(OR(FLSCR="ERROR",FLSPI="ERROR"),"No",IF(TODAY()-'Look Ups'!$D$4*365&gt;I133,"WP Applied","Yes"))</f>
        <v>Yes</v>
      </c>
      <c r="H133" s="253" t="str">
        <f>IF(SPC="","",CONCATENATE("Main-Genoa",IF(FLSCR="valid",IF(OR(CR133="Yes",MSAUSC&gt;0),"-Screacher (Upwind)","-Screacher"),""),IF(FLSPI="valid","-Spinnaker",""),IF(RSAMZ&gt;0,"-Mizzen",""),IF(RSA2M&gt;0,"-Second Main",""),IF(AS&gt;0,"-Staysail",""),IF(AD&gt;0,"-Drifter","")))</f>
        <v>Main-Genoa-Screacher (Upwind)-Spinnaker</v>
      </c>
      <c r="I133" s="1">
        <v>42795</v>
      </c>
      <c r="J133" s="1">
        <v>43859</v>
      </c>
      <c r="K133" s="87" t="s">
        <v>530</v>
      </c>
      <c r="L133" s="87" t="s">
        <v>176</v>
      </c>
      <c r="M133" s="207"/>
      <c r="N133" s="97" t="s">
        <v>165</v>
      </c>
      <c r="O133" s="97"/>
      <c r="P133" s="102"/>
      <c r="Q133" s="90">
        <v>15.2</v>
      </c>
      <c r="R133" s="87"/>
      <c r="S133" s="256">
        <f>IF((LOAA&gt;LOA),0.025*LOAA,0.025*LOA)</f>
        <v>0.38</v>
      </c>
      <c r="T133" s="91">
        <v>0</v>
      </c>
      <c r="U133" s="91">
        <v>0</v>
      </c>
      <c r="V133" s="258">
        <f>IF((_xlfn.SINGLE(LOAA)&gt;_xlfn.SINGLE(LOA)),_xlfn.SINGLE(LOAA),_xlfn.SINGLE(LOA)-_xlfn.SINGLE(FOC)-_xlfn.SINGLE(AOC))</f>
        <v>15.2</v>
      </c>
      <c r="W133" s="259">
        <f>IF(RL&gt;0,IF(RL&gt;'Look Ups'!Y$7,'Look Ups'!Y$8,('Look Ups'!Y$3*RL^3+'Look Ups'!Y$4*RL^2+'Look Ups'!Y$5*RL+'Look Ups'!Y$6)),0)</f>
        <v>0.3</v>
      </c>
      <c r="X133" s="92">
        <v>5035</v>
      </c>
      <c r="Y133" s="262">
        <f ca="1">IF(WDATE&lt;(TODAY()-'Look Ups'!$D$4*365),-WM*'Look Ups'!$D$5/100,0)</f>
        <v>0</v>
      </c>
      <c r="Z133" s="93">
        <v>53</v>
      </c>
      <c r="AA133" s="93">
        <v>438</v>
      </c>
      <c r="AB133" s="75">
        <v>6</v>
      </c>
      <c r="AC133" s="265">
        <f>WCD+NC*'Look Ups'!$AF$3</f>
        <v>462</v>
      </c>
      <c r="AD133" s="265">
        <f ca="1">IF(RL&lt;'Look Ups'!AM$3,'Look Ups'!AM$4,IF(RL&gt;'Look Ups'!AM$5,'Look Ups'!AM$6,(RL-'Look Ups'!AM$3)/('Look Ups'!AM$5-'Look Ups'!AM$3)*('Look Ups'!AM$6-'Look Ups'!AM$4)+'Look Ups'!AM$4))/100*WS</f>
        <v>508.8</v>
      </c>
      <c r="AE133" s="266">
        <f ca="1">WM+WP+WE</f>
        <v>5088</v>
      </c>
      <c r="AF133" s="267">
        <f ca="1">_xlfn.SINGLE(WS)+IF(_xlfn.SINGLE(TCW)&gt;=_xlfn.SINGLE(CWA),_xlfn.SINGLE(CWA),_xlfn.SINGLE(TCW))</f>
        <v>5550</v>
      </c>
      <c r="AG133" s="94" t="s">
        <v>145</v>
      </c>
      <c r="AH133" s="95" t="s">
        <v>146</v>
      </c>
      <c r="AI133" s="96" t="s">
        <v>147</v>
      </c>
      <c r="AJ133" s="218"/>
      <c r="AK133" s="273">
        <f>IF(C133="",0,VLOOKUP(AG133,'Look Ups'!$F$3:$G$6,2,0)*VLOOKUP(AH133,'Look Ups'!$I$3:$J$5,2,0)*VLOOKUP(AI133,'Look Ups'!$L$3:$M$7,2,0)*IF(AJ133="",1,VLOOKUP(AJ133,'Look Ups'!$O$3:$P$4,2,0)))</f>
        <v>1</v>
      </c>
      <c r="AL133" s="83">
        <v>18.149999999999999</v>
      </c>
      <c r="AM133" s="91">
        <v>18.02</v>
      </c>
      <c r="AN133" s="91">
        <v>5.68</v>
      </c>
      <c r="AO133" s="91">
        <v>2.33</v>
      </c>
      <c r="AP133" s="91">
        <v>0.57999999999999996</v>
      </c>
      <c r="AQ133" s="91">
        <v>18.36</v>
      </c>
      <c r="AR133" s="91">
        <v>0.32</v>
      </c>
      <c r="AS133" s="91">
        <v>5.79</v>
      </c>
      <c r="AT133" s="91">
        <v>0.06</v>
      </c>
      <c r="AU133" s="91">
        <v>0.72</v>
      </c>
      <c r="AV133" s="91" t="s">
        <v>148</v>
      </c>
      <c r="AW133" s="97">
        <v>0</v>
      </c>
      <c r="AX133" s="256">
        <f>P+ER</f>
        <v>18.419999999999998</v>
      </c>
      <c r="AY133" s="256">
        <f>P*0.375*MC</f>
        <v>4.9571999999999994</v>
      </c>
      <c r="AZ133" s="275">
        <f>IF(C133="",0,(0.5*(_ML1*LPM)+0.5*(_ML1*HB)+0.66*(P*PR)+0.66*(_ML2*RDM)+0.66*(E*ER))*VLOOKUP(BATT,'Look Ups'!$U$3:$V$4,2,0))</f>
        <v>83.695722000000004</v>
      </c>
      <c r="BA133" s="98"/>
      <c r="BB133" s="99"/>
      <c r="BC133" s="83">
        <v>16.29</v>
      </c>
      <c r="BD133" s="91">
        <v>4.8499999999999996</v>
      </c>
      <c r="BE133" s="91">
        <v>5.0599999999999996</v>
      </c>
      <c r="BF133" s="91">
        <v>0.05</v>
      </c>
      <c r="BG133" s="91">
        <v>15.42</v>
      </c>
      <c r="BH133" s="91"/>
      <c r="BI133" s="91"/>
      <c r="BJ133" s="91">
        <v>-0.31</v>
      </c>
      <c r="BK133" s="91">
        <v>0</v>
      </c>
      <c r="BL133" s="97">
        <v>0</v>
      </c>
      <c r="BM133" s="275">
        <f>(0.5*LL*LPG)+(0.5*_LG1*HG)+(0.66*LL*LLRG)+(0.66*FG*FRG)+(IF((HG&gt;0),(0.66*_LG2*LRG),(0.66*_LG1*LRG)))</f>
        <v>36.515297999999994</v>
      </c>
      <c r="BN133" s="282"/>
      <c r="BO133" s="283"/>
      <c r="BP133" s="284"/>
      <c r="BQ133" s="284"/>
      <c r="BR133" s="283"/>
      <c r="BS133" s="284"/>
      <c r="BT133" s="284"/>
      <c r="BU133" s="280">
        <f>(0.5*LLS*LPS)+(0.66*LLS*LLRS)+(0.66*LS*LRS)+(0.66*FS*FRS)</f>
        <v>0</v>
      </c>
      <c r="BV133" s="285"/>
      <c r="BW133" s="283"/>
      <c r="BX133" s="283"/>
      <c r="BY133" s="283"/>
      <c r="BZ133" s="283"/>
      <c r="CA133" s="283"/>
      <c r="CB133" s="283"/>
      <c r="CC133" s="275">
        <f>(0.5*LLD*LPD)+(0.66*LLD*LLRD)+(0.66*LCHD*LRD)+(0.66*FD*FRD)</f>
        <v>0</v>
      </c>
      <c r="CD133" s="98">
        <v>12.03</v>
      </c>
      <c r="CE133" s="91">
        <v>21.67</v>
      </c>
      <c r="CF133" s="91">
        <v>19.239999999999998</v>
      </c>
      <c r="CG133" s="91">
        <v>11.4</v>
      </c>
      <c r="CH133" s="266">
        <f>IF(SF&gt;0,SMG/SF*100,"")</f>
        <v>94.763092269326691</v>
      </c>
      <c r="CI133" s="286"/>
      <c r="CJ133" s="280">
        <f>SF*(_SL1+_SL2)/4+(SMG-SF/2)*(_SL1+_SL2)/3</f>
        <v>196.47027499999999</v>
      </c>
      <c r="CK133" s="83">
        <v>9.5250000000000004</v>
      </c>
      <c r="CL133" s="362">
        <v>18.100000000000001</v>
      </c>
      <c r="CM133" s="362">
        <v>15.8</v>
      </c>
      <c r="CN133" s="362">
        <v>4.7699999999999996</v>
      </c>
      <c r="CO133" s="256">
        <f>IF(SCRF&gt;0,SCRMG/SCRF*100,"")</f>
        <v>50.078740157480304</v>
      </c>
      <c r="CP133" s="286"/>
      <c r="CQ133" s="256">
        <f>SCRF*(SCRL1+SCRL2)/4+(SCRMG-SCRF/2)*(SCRL1+SCRL2)/3</f>
        <v>80.809125000000023</v>
      </c>
      <c r="CR133" s="256" t="str">
        <f>IF(CO133&lt;'Look Ups'!$AC$4,"Yes","No")</f>
        <v>Yes</v>
      </c>
      <c r="CS133" s="267">
        <f>IF(CR133="Yes",MIN(150,('Look Ups'!$AC$4-PSCR)/('Look Ups'!$AC$4-'Look Ups'!$AC$3)*100),0)</f>
        <v>38.425196850393917</v>
      </c>
      <c r="CT133" s="83"/>
      <c r="CU133" s="120"/>
      <c r="CV133" s="120"/>
      <c r="CW133" s="120"/>
      <c r="CX133" s="256" t="str">
        <f>IF(USCRF&gt;0,USCRMG/USCRF*100,"")</f>
        <v/>
      </c>
      <c r="CY133" s="293">
        <f>IF(PUSCR&lt;'Look Ups'!$AC$4,MIN(150,('Look Ups'!$AC$4-PUSCR)/('Look Ups'!$AC$4-'Look Ups'!$AC$3)*100),0)</f>
        <v>0</v>
      </c>
      <c r="CZ133" s="275">
        <f>IF(PUSCR&lt;'Look Ups'!$AC$4,USCRF*(USCRL1+USCRL2)/4+(USCRMG-USCRF/2)*(USCRL1+USCRL2)/3,0)</f>
        <v>0</v>
      </c>
      <c r="DA133" s="294">
        <f>IF(ZVAL=1,1,IF(LPM&gt;0,0.64*((AM+MAM)/(E+(MC/2))^2)^0.3,0))</f>
        <v>1</v>
      </c>
      <c r="DB133" s="256">
        <f>0.65*((AM+MAM)*EFM)+0.35*((AM+MAM)*ZVAL)</f>
        <v>88.652922000000004</v>
      </c>
      <c r="DC133" s="256">
        <f>IF(ZVAL=1,1,IF(LPG&gt;0,0.72*(AG/(LPG^2))^0.3,0))</f>
        <v>1</v>
      </c>
      <c r="DD133" s="256">
        <f>AG*EFG</f>
        <v>36.515297999999994</v>
      </c>
      <c r="DE133" s="256">
        <f>IF(AZ133&gt;0,'Look Ups'!$S$3,0)</f>
        <v>1</v>
      </c>
      <c r="DF133" s="256">
        <f>IF(LPS&gt;0,0.72*(AS/(LPS^2))^0.3,0)</f>
        <v>0</v>
      </c>
      <c r="DG133" s="256">
        <f>EFS*AS</f>
        <v>0</v>
      </c>
      <c r="DH133" s="256">
        <f>IF(LPD&gt;0,0.72*(AD/(LPD^2))^0.3,0)</f>
        <v>0</v>
      </c>
      <c r="DI133" s="280">
        <f>IF((AD-AG)&gt;0,0.3*(AD-AG)*EFD,0)</f>
        <v>0</v>
      </c>
      <c r="DJ133" s="295" t="str">
        <f>IF((SCRF=0),"-",IF(AND(MSASC&gt;AG,SCRMG&lt;(0.75*SCRF)),"valid","ERROR"))</f>
        <v>valid</v>
      </c>
      <c r="DK133" s="266" t="str">
        <f>IF((SF=0),"-",IF((SMG&lt;(0.75*SF)),"ERROR",IF(AND(MSASP&gt;MSASC,MSASP&gt;AG,MSASP&gt;=0.36*RSAM),"valid","Small")))</f>
        <v>valid</v>
      </c>
      <c r="DL133" s="267" t="str">
        <f>IF(C133="","",CONCATENATE("MG",IF(FLSCR="valid","Scr",""),IF(FLSPI="valid","SP","")))</f>
        <v>MGScrSP</v>
      </c>
      <c r="DM133" s="294">
        <f>RSAM+RSAG</f>
        <v>125.16821999999999</v>
      </c>
      <c r="DN133" s="256">
        <f>IF(MSASP&gt;0,'Look Ups'!$AI$4*(ZVAL*MSASP-RSAG),0)</f>
        <v>47.986493099999997</v>
      </c>
      <c r="DO133" s="256">
        <f>IF(AND(MSASC&gt;0,(MSASC&gt;=0.36*RSAM)),('Look Ups'!$AI$3*(ZVAL*MSASC-RSAG)),(0))</f>
        <v>15.502839450000009</v>
      </c>
      <c r="DP133" s="256">
        <f>IF(MSASP&gt;0,'Look Ups'!$AI$5*(ZVAL*MSASP-RSAG),0)</f>
        <v>44.787393559999998</v>
      </c>
      <c r="DQ133" s="256">
        <f>IF(MSASC&gt;0,'Look Ups'!$AI$6*(MSASC-RSAG),0)</f>
        <v>3.1005678900000024</v>
      </c>
      <c r="DR133" s="280">
        <f>'Look Ups'!$AI$7*MAX(IF(MSAUSC&gt;0,EUSC/100*(MSAUSC-RSAG),0),IF(CR133="Yes",ELSC/100*(MSASC-RSAG),0))</f>
        <v>4.2549975543307355</v>
      </c>
      <c r="DS133" s="280">
        <f>0.36*RSAM</f>
        <v>31.91505192</v>
      </c>
      <c r="DT133" s="296">
        <f>_xlfn.IFS(SPC="MG",RAMG+DS133,SPC="MGScr",RAMG+RASCO,SPC="MGSp",RAMG+RASPO,SPC="MGScrSp",RAMG+RASPSC+RASCR)+RAUSC+RSAST+RSAD+RSAMZ+RSA2M</f>
        <v>177.31117900433074</v>
      </c>
      <c r="DU133" s="63"/>
    </row>
    <row r="134" spans="1:125" ht="15.6" customHeight="1" x14ac:dyDescent="0.3">
      <c r="A134" s="4"/>
      <c r="B134" s="64"/>
      <c r="C134" s="64" t="s">
        <v>1165</v>
      </c>
      <c r="D134" s="101" t="s">
        <v>1166</v>
      </c>
      <c r="E134" s="86" t="s">
        <v>1167</v>
      </c>
      <c r="F134" s="252">
        <f ca="1">IF(RW=0,0,ROUND(DLF*0.93*RL^LF*RSA^0.4/RW^0.325,3))</f>
        <v>0.89800000000000002</v>
      </c>
      <c r="G134" s="252" t="str">
        <f ca="1">IF(OR(FLSCR="ERROR",FLSPI="ERROR"),"No",IF(TODAY()-'Look Ups'!$D$4*365&gt;I134,"WP Applied","Yes"))</f>
        <v>Yes</v>
      </c>
      <c r="H134" s="253" t="str">
        <f>IF(SPC="","",CONCATENATE("Main-Genoa",IF(FLSCR="valid",IF(OR(CR134="Yes",MSAUSC&gt;0),"-Screacher (Upwind)","-Screacher"),""),IF(FLSPI="valid","-Spinnaker",""),IF(RSAMZ&gt;0,"-Mizzen",""),IF(RSA2M&gt;0,"-Second Main",""),IF(AS&gt;0,"-Staysail",""),IF(AD&gt;0,"-Drifter","")))</f>
        <v>Main-Genoa-Spinnaker</v>
      </c>
      <c r="I134" s="1">
        <v>45369</v>
      </c>
      <c r="J134" s="1">
        <v>45680</v>
      </c>
      <c r="K134" s="87" t="s">
        <v>1171</v>
      </c>
      <c r="L134" s="87" t="s">
        <v>176</v>
      </c>
      <c r="M134" s="207"/>
      <c r="N134" s="97" t="s">
        <v>1168</v>
      </c>
      <c r="O134" s="97"/>
      <c r="P134" s="102">
        <v>10.28</v>
      </c>
      <c r="Q134" s="90">
        <v>15.43</v>
      </c>
      <c r="R134" s="87"/>
      <c r="S134" s="256">
        <f>IF((LOAA&gt;LOA),0.025*LOAA,0.025*LOA)</f>
        <v>0.38575000000000004</v>
      </c>
      <c r="T134" s="91">
        <v>0</v>
      </c>
      <c r="U134" s="91">
        <v>0</v>
      </c>
      <c r="V134" s="258">
        <f>IF((_xlfn.SINGLE(LOAA)&gt;_xlfn.SINGLE(LOA)),_xlfn.SINGLE(LOAA),_xlfn.SINGLE(LOA)-_xlfn.SINGLE(FOC)-_xlfn.SINGLE(AOC))</f>
        <v>15.43</v>
      </c>
      <c r="W134" s="259">
        <f>IF(RL&gt;0,IF(RL&gt;'Look Ups'!Y$7,'Look Ups'!Y$8,('Look Ups'!Y$3*RL^3+'Look Ups'!Y$4*RL^2+'Look Ups'!Y$5*RL+'Look Ups'!Y$6)),0)</f>
        <v>0.3</v>
      </c>
      <c r="X134" s="92">
        <v>9365</v>
      </c>
      <c r="Y134" s="262">
        <f ca="1">IF(WDATE&lt;(TODAY()-'Look Ups'!$D$4*365),-WM*'Look Ups'!$D$5/100,0)</f>
        <v>0</v>
      </c>
      <c r="Z134" s="93"/>
      <c r="AA134" s="93">
        <v>640</v>
      </c>
      <c r="AB134" s="75">
        <v>7</v>
      </c>
      <c r="AC134" s="265">
        <f>WCD+NC*'Look Ups'!$AF$3</f>
        <v>668</v>
      </c>
      <c r="AD134" s="265">
        <f ca="1">IF(RL&lt;'Look Ups'!AM$3,'Look Ups'!AM$4,IF(RL&gt;'Look Ups'!AM$5,'Look Ups'!AM$6,(RL-'Look Ups'!AM$3)/('Look Ups'!AM$5-'Look Ups'!AM$3)*('Look Ups'!AM$6-'Look Ups'!AM$4)+'Look Ups'!AM$4))/100*WS</f>
        <v>936.5</v>
      </c>
      <c r="AE134" s="266">
        <f ca="1">WM+WP+WE</f>
        <v>9365</v>
      </c>
      <c r="AF134" s="267">
        <f ca="1">_xlfn.SINGLE(WS)+IF(_xlfn.SINGLE(TCW)&gt;=_xlfn.SINGLE(CWA),_xlfn.SINGLE(CWA),_xlfn.SINGLE(TCW))</f>
        <v>10033</v>
      </c>
      <c r="AG134" s="94" t="s">
        <v>145</v>
      </c>
      <c r="AH134" s="95" t="s">
        <v>146</v>
      </c>
      <c r="AI134" s="96" t="s">
        <v>187</v>
      </c>
      <c r="AJ134" s="218"/>
      <c r="AK134" s="273">
        <f>IF(C134="",0,VLOOKUP(AG134,'Look Ups'!$F$3:$G$6,2,0)*VLOOKUP(AH134,'Look Ups'!$I$3:$J$5,2,0)*VLOOKUP(AI134,'Look Ups'!$L$3:$M$7,2,0)*IF(AJ134="",1,VLOOKUP(AJ134,'Look Ups'!$O$3:$P$4,2,0)))</f>
        <v>0.995</v>
      </c>
      <c r="AL134" s="83">
        <v>21.2</v>
      </c>
      <c r="AM134" s="91">
        <v>20.65</v>
      </c>
      <c r="AN134" s="91">
        <v>6.21</v>
      </c>
      <c r="AO134" s="91">
        <v>1.95</v>
      </c>
      <c r="AP134" s="91">
        <v>0.46</v>
      </c>
      <c r="AQ134" s="91">
        <v>20.45</v>
      </c>
      <c r="AR134" s="91">
        <v>0.15</v>
      </c>
      <c r="AS134" s="91">
        <v>6.5</v>
      </c>
      <c r="AT134" s="91">
        <v>0</v>
      </c>
      <c r="AU134" s="91">
        <v>0.4</v>
      </c>
      <c r="AV134" s="91" t="s">
        <v>1169</v>
      </c>
      <c r="AW134" s="97" t="s">
        <v>1170</v>
      </c>
      <c r="AX134" s="256">
        <f>P+ER</f>
        <v>20.45</v>
      </c>
      <c r="AY134" s="256">
        <f>P*0.375*MC</f>
        <v>3.0674999999999999</v>
      </c>
      <c r="AZ134" s="275">
        <f>IF(C134="",0,(0.5*(_ML1*LPM)+0.5*(_ML1*HB)+0.66*(P*PR)+0.66*(_ML2*RDM)+0.66*(E*ER))*VLOOKUP(BATT,'Look Ups'!$U$3:$V$4,2,0))</f>
        <v>94.78989</v>
      </c>
      <c r="BA134" s="98"/>
      <c r="BB134" s="99"/>
      <c r="BC134" s="83">
        <v>20.8</v>
      </c>
      <c r="BD134" s="91">
        <v>5.63</v>
      </c>
      <c r="BE134" s="91">
        <v>6.55</v>
      </c>
      <c r="BF134" s="91">
        <v>0.28000000000000003</v>
      </c>
      <c r="BG134" s="91">
        <v>18.170000000000002</v>
      </c>
      <c r="BH134" s="91">
        <v>18.170000000000002</v>
      </c>
      <c r="BI134" s="91">
        <v>0.13</v>
      </c>
      <c r="BJ134" s="91">
        <v>6.5000000000000002E-2</v>
      </c>
      <c r="BK134" s="91">
        <v>1.0999999999999999E-2</v>
      </c>
      <c r="BL134" s="97">
        <v>0</v>
      </c>
      <c r="BM134" s="275">
        <f>(0.5*LL*LPG)+(0.5*_LG1*HG)+(0.66*LL*LLRG)+(0.66*FG*FRG)+(IF((HG&gt;0),(0.66*_LG2*LRG),(0.66*_LG1*LRG)))</f>
        <v>61.873990999999997</v>
      </c>
      <c r="BN134" s="282"/>
      <c r="BO134" s="283"/>
      <c r="BP134" s="284"/>
      <c r="BQ134" s="284"/>
      <c r="BR134" s="283"/>
      <c r="BS134" s="284"/>
      <c r="BT134" s="284"/>
      <c r="BU134" s="280">
        <f>(0.5*LLS*LPS)+(0.66*LLS*LLRS)+(0.66*LS*LRS)+(0.66*FS*FRS)</f>
        <v>0</v>
      </c>
      <c r="BV134" s="285"/>
      <c r="BW134" s="283"/>
      <c r="BX134" s="283"/>
      <c r="BY134" s="283"/>
      <c r="BZ134" s="283"/>
      <c r="CA134" s="283"/>
      <c r="CB134" s="283"/>
      <c r="CC134" s="275">
        <f>(0.5*LLD*LPD)+(0.66*LLD*LLRD)+(0.66*LCHD*LRD)+(0.66*FD*FRD)</f>
        <v>0</v>
      </c>
      <c r="CD134" s="98">
        <v>12.8</v>
      </c>
      <c r="CE134" s="91">
        <v>24.85</v>
      </c>
      <c r="CF134" s="91">
        <v>21.7</v>
      </c>
      <c r="CG134" s="91">
        <v>12.12</v>
      </c>
      <c r="CH134" s="266">
        <f>IF(SF&gt;0,SMG/SF*100,"")</f>
        <v>94.687499999999986</v>
      </c>
      <c r="CI134" s="286"/>
      <c r="CJ134" s="280">
        <f>SF*(_SL1+_SL2)/4+(SMG-SF/2)*(_SL1+_SL2)/3</f>
        <v>237.71533333333332</v>
      </c>
      <c r="CK134" s="83"/>
      <c r="CL134" s="123"/>
      <c r="CM134" s="123"/>
      <c r="CN134" s="123"/>
      <c r="CO134" s="256" t="str">
        <f>IF(SCRF&gt;0,SCRMG/SCRF*100,"")</f>
        <v/>
      </c>
      <c r="CP134" s="286"/>
      <c r="CQ134" s="256">
        <f>SCRF*(SCRL1+SCRL2)/4+(SCRMG-SCRF/2)*(SCRL1+SCRL2)/3</f>
        <v>0</v>
      </c>
      <c r="CR134" s="256" t="str">
        <f>IF(CO134&lt;'Look Ups'!$AC$4,"Yes","No")</f>
        <v>No</v>
      </c>
      <c r="CS134" s="267">
        <f>IF(CR134="Yes",MIN(150,('Look Ups'!$AC$4-PSCR)/('Look Ups'!$AC$4-'Look Ups'!$AC$3)*100),0)</f>
        <v>0</v>
      </c>
      <c r="CT134" s="83"/>
      <c r="CU134" s="123"/>
      <c r="CV134" s="123"/>
      <c r="CW134" s="123"/>
      <c r="CX134" s="256" t="str">
        <f>IF(USCRF&gt;0,USCRMG/USCRF*100,"")</f>
        <v/>
      </c>
      <c r="CY134" s="293">
        <f>IF(PUSCR&lt;'Look Ups'!$AC$4,MIN(150,('Look Ups'!$AC$4-PUSCR)/('Look Ups'!$AC$4-'Look Ups'!$AC$3)*100),0)</f>
        <v>0</v>
      </c>
      <c r="CZ134" s="275">
        <f>IF(PUSCR&lt;'Look Ups'!$AC$4,USCRF*(USCRL1+USCRL2)/4+(USCRMG-USCRF/2)*(USCRL1+USCRL2)/3,0)</f>
        <v>0</v>
      </c>
      <c r="DA134" s="294">
        <f>IF(ZVAL=1,1,IF(LPM&gt;0,0.64*((AM+MAM)/(E+(MC/2))^2)^0.3,0))</f>
        <v>1</v>
      </c>
      <c r="DB134" s="256">
        <f>0.65*((AM+MAM)*EFM)+0.35*((AM+MAM)*ZVAL)</f>
        <v>97.857389999999995</v>
      </c>
      <c r="DC134" s="256">
        <f>IF(ZVAL=1,1,IF(LPG&gt;0,0.72*(AG/(LPG^2))^0.3,0))</f>
        <v>1</v>
      </c>
      <c r="DD134" s="256">
        <f>AG*EFG</f>
        <v>61.873990999999997</v>
      </c>
      <c r="DE134" s="256">
        <f>IF(AZ134&gt;0,'Look Ups'!$S$3,0)</f>
        <v>1</v>
      </c>
      <c r="DF134" s="256">
        <f>IF(LPS&gt;0,0.72*(AS/(LPS^2))^0.3,0)</f>
        <v>0</v>
      </c>
      <c r="DG134" s="256">
        <f>EFS*AS</f>
        <v>0</v>
      </c>
      <c r="DH134" s="256">
        <f>IF(LPD&gt;0,0.72*(AD/(LPD^2))^0.3,0)</f>
        <v>0</v>
      </c>
      <c r="DI134" s="280">
        <f>IF((AD-AG)&gt;0,0.3*(AD-AG)*EFD,0)</f>
        <v>0</v>
      </c>
      <c r="DJ134" s="295" t="str">
        <f>IF((SCRF=0),"-",IF(AND(MSASC&gt;AG,SCRMG&lt;(0.75*SCRF)),"valid","ERROR"))</f>
        <v>-</v>
      </c>
      <c r="DK134" s="266" t="str">
        <f>IF((SF=0),"-",IF((SMG&lt;(0.75*SF)),"ERROR",IF(AND(MSASP&gt;MSASC,MSASP&gt;AG,MSASP&gt;=0.36*RSAM),"valid","Small")))</f>
        <v>valid</v>
      </c>
      <c r="DL134" s="267" t="str">
        <f>IF(C134="","",CONCATENATE("MG",IF(FLSCR="valid","Scr",""),IF(FLSPI="valid","SP","")))</f>
        <v>MGSP</v>
      </c>
      <c r="DM134" s="294">
        <f>RSAM+RSAG</f>
        <v>159.731381</v>
      </c>
      <c r="DN134" s="256">
        <f>IF(MSASP&gt;0,'Look Ups'!$AI$4*(ZVAL*MSASP-RSAG),0)</f>
        <v>52.752402699999998</v>
      </c>
      <c r="DO134" s="256">
        <f>IF(AND(MSASC&gt;0,(MSASC&gt;=0.36*RSAM)),('Look Ups'!$AI$3*(ZVAL*MSASC-RSAG)),(0))</f>
        <v>0</v>
      </c>
      <c r="DP134" s="256">
        <f>IF(MSASP&gt;0,'Look Ups'!$AI$5*(ZVAL*MSASP-RSAG),0)</f>
        <v>49.235575853333337</v>
      </c>
      <c r="DQ134" s="256">
        <f>IF(MSASC&gt;0,'Look Ups'!$AI$6*(MSASC-RSAG),0)</f>
        <v>0</v>
      </c>
      <c r="DR134" s="280">
        <f>'Look Ups'!$AI$7*MAX(IF(MSAUSC&gt;0,EUSC/100*(MSAUSC-RSAG),0),IF(CR134="Yes",ELSC/100*(MSASC-RSAG),0))</f>
        <v>0</v>
      </c>
      <c r="DS134" s="280">
        <f>0.36*RSAM</f>
        <v>35.228660399999995</v>
      </c>
      <c r="DT134" s="296">
        <f>_xlfn.IFS(SPC="MG",RAMG+DS134,SPC="MGScr",RAMG+RASCO,SPC="MGSp",RAMG+RASPO,SPC="MGScrSp",RAMG+RASPSC+RASCR)+RAUSC+RSAST+RSAD+RSAMZ+RSA2M</f>
        <v>212.4837837</v>
      </c>
      <c r="DU134" s="63"/>
    </row>
    <row r="135" spans="1:125" ht="15.6" customHeight="1" x14ac:dyDescent="0.3">
      <c r="A135" s="4"/>
      <c r="B135" s="64"/>
      <c r="C135" s="64" t="s">
        <v>531</v>
      </c>
      <c r="D135" s="85" t="s">
        <v>532</v>
      </c>
      <c r="E135" s="86" t="s">
        <v>533</v>
      </c>
      <c r="F135" s="252">
        <f ca="1">IF(RW=0,0,ROUND(DLF*0.93*RL^LF*RSA^0.4/RW^0.325,3))</f>
        <v>0.84</v>
      </c>
      <c r="G135" s="252" t="str">
        <f ca="1">IF(OR(FLSCR="ERROR",FLSPI="ERROR"),"No",IF(TODAY()-'Look Ups'!$D$4*365&gt;I135,"WP Applied","Yes"))</f>
        <v>Yes</v>
      </c>
      <c r="H135" s="253" t="str">
        <f>IF(SPC="","",CONCATENATE("Main-Genoa",IF(FLSCR="valid",IF(OR(CR135="Yes",MSAUSC&gt;0),"-Screacher (Upwind)","-Screacher"),""),IF(FLSPI="valid","-Spinnaker",""),IF(RSAMZ&gt;0,"-Mizzen",""),IF(RSA2M&gt;0,"-Second Main",""),IF(AS&gt;0,"-Staysail",""),IF(AD&gt;0,"-Drifter","")))</f>
        <v>Main-Genoa</v>
      </c>
      <c r="I135" s="1">
        <v>43682</v>
      </c>
      <c r="J135" s="1">
        <v>44149</v>
      </c>
      <c r="K135" s="87" t="s">
        <v>534</v>
      </c>
      <c r="L135" s="87" t="s">
        <v>176</v>
      </c>
      <c r="M135" s="207"/>
      <c r="N135" s="88" t="s">
        <v>143</v>
      </c>
      <c r="O135" s="88" t="s">
        <v>154</v>
      </c>
      <c r="P135" s="100"/>
      <c r="Q135" s="90">
        <v>9.5</v>
      </c>
      <c r="R135" s="87"/>
      <c r="S135" s="256">
        <f>IF((LOAA&gt;LOA),0.025*LOAA,0.025*LOA)</f>
        <v>0.23750000000000002</v>
      </c>
      <c r="T135" s="91">
        <v>0.12</v>
      </c>
      <c r="U135" s="91">
        <v>0</v>
      </c>
      <c r="V135" s="258">
        <f>IF((_xlfn.SINGLE(LOAA)&gt;_xlfn.SINGLE(LOA)),_xlfn.SINGLE(LOAA),_xlfn.SINGLE(LOA)-_xlfn.SINGLE(FOC)-_xlfn.SINGLE(AOC))</f>
        <v>9.3800000000000008</v>
      </c>
      <c r="W135" s="259">
        <f>IF(RL&gt;0,IF(RL&gt;'Look Ups'!Y$7,'Look Ups'!Y$8,('Look Ups'!Y$3*RL^3+'Look Ups'!Y$4*RL^2+'Look Ups'!Y$5*RL+'Look Ups'!Y$6)),0)</f>
        <v>0.29746653117600003</v>
      </c>
      <c r="X135" s="92">
        <v>2150</v>
      </c>
      <c r="Y135" s="262">
        <f ca="1">IF(WDATE&lt;(TODAY()-'Look Ups'!$D$4*365),-WM*'Look Ups'!$D$5/100,0)</f>
        <v>0</v>
      </c>
      <c r="Z135" s="93"/>
      <c r="AA135" s="225"/>
      <c r="AB135" s="75"/>
      <c r="AC135" s="265">
        <f>WCD+NC*'Look Ups'!$AF$3</f>
        <v>0</v>
      </c>
      <c r="AD135" s="265">
        <f ca="1">IF(RL&lt;'Look Ups'!AM$3,'Look Ups'!AM$4,IF(RL&gt;'Look Ups'!AM$5,'Look Ups'!AM$6,(RL-'Look Ups'!AM$3)/('Look Ups'!AM$5-'Look Ups'!AM$3)*('Look Ups'!AM$6-'Look Ups'!AM$4)+'Look Ups'!AM$4))/100*WS</f>
        <v>435.47272727272718</v>
      </c>
      <c r="AE135" s="266">
        <f ca="1">WM+WP+WE</f>
        <v>2150</v>
      </c>
      <c r="AF135" s="267">
        <f ca="1">_xlfn.SINGLE(WS)+IF(_xlfn.SINGLE(TCW)&gt;=_xlfn.SINGLE(CWA),_xlfn.SINGLE(CWA),_xlfn.SINGLE(TCW))</f>
        <v>2150</v>
      </c>
      <c r="AG135" s="94" t="s">
        <v>145</v>
      </c>
      <c r="AH135" s="95" t="s">
        <v>146</v>
      </c>
      <c r="AI135" s="96" t="s">
        <v>147</v>
      </c>
      <c r="AJ135" s="218"/>
      <c r="AK135" s="273">
        <f>IF(C135="",0,VLOOKUP(AG135,'Look Ups'!$F$3:$G$6,2,0)*VLOOKUP(AH135,'Look Ups'!$I$3:$J$5,2,0)*VLOOKUP(AI135,'Look Ups'!$L$3:$M$7,2,0)*IF(AJ135="",1,VLOOKUP(AJ135,'Look Ups'!$O$3:$P$4,2,0)))</f>
        <v>1</v>
      </c>
      <c r="AL135" s="83">
        <v>12.65</v>
      </c>
      <c r="AM135" s="91">
        <v>12.337</v>
      </c>
      <c r="AN135" s="91">
        <v>4.1429999999999998</v>
      </c>
      <c r="AO135" s="91">
        <v>0.93799999999999994</v>
      </c>
      <c r="AP135" s="91">
        <v>0.70499999999999996</v>
      </c>
      <c r="AQ135" s="91">
        <v>12.122999999999999</v>
      </c>
      <c r="AR135" s="91">
        <v>9.7000000000000003E-2</v>
      </c>
      <c r="AS135" s="91">
        <v>4.3099999999999996</v>
      </c>
      <c r="AT135" s="91">
        <v>1.6E-2</v>
      </c>
      <c r="AU135" s="91">
        <v>0.5</v>
      </c>
      <c r="AV135" s="91" t="s">
        <v>148</v>
      </c>
      <c r="AW135" s="97">
        <v>0</v>
      </c>
      <c r="AX135" s="256">
        <f>P+ER</f>
        <v>12.138999999999999</v>
      </c>
      <c r="AY135" s="256">
        <f>P*0.375*MC</f>
        <v>2.2730625</v>
      </c>
      <c r="AZ135" s="275">
        <f>IF(C135="",0,(0.5*(_ML1*LPM)+0.5*(_ML1*HB)+0.66*(P*PR)+0.66*(_ML2*RDM)+0.66*(E*ER))*VLOOKUP(BATT,'Look Ups'!$U$3:$V$4,2,0))</f>
        <v>38.69935916</v>
      </c>
      <c r="BA135" s="98"/>
      <c r="BB135" s="99"/>
      <c r="BC135" s="83">
        <v>10.54</v>
      </c>
      <c r="BD135" s="91">
        <v>3.6</v>
      </c>
      <c r="BE135" s="91">
        <v>3.99</v>
      </c>
      <c r="BF135" s="91">
        <v>0.02</v>
      </c>
      <c r="BG135" s="91">
        <v>9.49</v>
      </c>
      <c r="BH135" s="91"/>
      <c r="BI135" s="91"/>
      <c r="BJ135" s="91">
        <v>0</v>
      </c>
      <c r="BK135" s="91"/>
      <c r="BL135" s="97">
        <v>0</v>
      </c>
      <c r="BM135" s="275">
        <f>(0.5*LL*LPG)+(0.5*_LG1*HG)+(0.66*LL*LLRG)+(0.66*FG*FRG)+(IF((HG&gt;0),(0.66*_LG2*LRG),(0.66*_LG1*LRG)))</f>
        <v>19.024667999999998</v>
      </c>
      <c r="BN135" s="282"/>
      <c r="BO135" s="283"/>
      <c r="BP135" s="284"/>
      <c r="BQ135" s="284"/>
      <c r="BR135" s="283"/>
      <c r="BS135" s="284"/>
      <c r="BT135" s="284"/>
      <c r="BU135" s="280">
        <f>(0.5*LLS*LPS)+(0.66*LLS*LLRS)+(0.66*LS*LRS)+(0.66*FS*FRS)</f>
        <v>0</v>
      </c>
      <c r="BV135" s="285"/>
      <c r="BW135" s="283"/>
      <c r="BX135" s="283"/>
      <c r="BY135" s="283"/>
      <c r="BZ135" s="283"/>
      <c r="CA135" s="283"/>
      <c r="CB135" s="283"/>
      <c r="CC135" s="275">
        <f>(0.5*LLD*LPD)+(0.66*LLD*LLRD)+(0.66*LCHD*LRD)+(0.66*FD*FRD)</f>
        <v>0</v>
      </c>
      <c r="CD135" s="98"/>
      <c r="CE135" s="91"/>
      <c r="CF135" s="91"/>
      <c r="CG135" s="91"/>
      <c r="CH135" s="266" t="str">
        <f>IF(SF&gt;0,SMG/SF*100,"")</f>
        <v/>
      </c>
      <c r="CI135" s="283"/>
      <c r="CJ135" s="280">
        <f>SF*(_SL1+_SL2)/4+(SMG-SF/2)*(_SL1+_SL2)/3</f>
        <v>0</v>
      </c>
      <c r="CK135" s="83"/>
      <c r="CL135" s="388"/>
      <c r="CM135" s="388"/>
      <c r="CN135" s="388"/>
      <c r="CO135" s="256" t="str">
        <f>IF(SCRF&gt;0,SCRMG/SCRF*100,"")</f>
        <v/>
      </c>
      <c r="CP135" s="283"/>
      <c r="CQ135" s="256">
        <f>SCRF*(SCRL1+SCRL2)/4+(SCRMG-SCRF/2)*(SCRL1+SCRL2)/3</f>
        <v>0</v>
      </c>
      <c r="CR135" s="256" t="str">
        <f>IF(CO135&lt;'Look Ups'!$AC$4,"Yes","No")</f>
        <v>No</v>
      </c>
      <c r="CS135" s="267">
        <f>IF(CR135="Yes",MIN(150,('Look Ups'!$AC$4-PSCR)/('Look Ups'!$AC$4-'Look Ups'!$AC$3)*100),0)</f>
        <v>0</v>
      </c>
      <c r="CT135" s="83"/>
      <c r="CU135" s="388"/>
      <c r="CV135" s="388"/>
      <c r="CW135" s="388"/>
      <c r="CX135" s="256" t="str">
        <f>IF(USCRF&gt;0,USCRMG/USCRF*100,"")</f>
        <v/>
      </c>
      <c r="CY135" s="293">
        <f>IF(PUSCR&lt;'Look Ups'!$AC$4,MIN(150,('Look Ups'!$AC$4-PUSCR)/('Look Ups'!$AC$4-'Look Ups'!$AC$3)*100),0)</f>
        <v>0</v>
      </c>
      <c r="CZ135" s="275">
        <f>IF(PUSCR&lt;'Look Ups'!$AC$4,USCRF*(USCRL1+USCRL2)/4+(USCRMG-USCRF/2)*(USCRL1+USCRL2)/3,0)</f>
        <v>0</v>
      </c>
      <c r="DA135" s="294">
        <f>IF(ZVAL=1,1,IF(LPM&gt;0,0.64*((AM+MAM)/(E+(MC/2))^2)^0.3,0))</f>
        <v>1</v>
      </c>
      <c r="DB135" s="256">
        <f>0.65*((AM+MAM)*EFM)+0.35*((AM+MAM)*ZVAL)</f>
        <v>40.972421660000002</v>
      </c>
      <c r="DC135" s="256">
        <f>IF(ZVAL=1,1,IF(LPG&gt;0,0.72*(AG/(LPG^2))^0.3,0))</f>
        <v>1</v>
      </c>
      <c r="DD135" s="256">
        <f>AG*EFG</f>
        <v>19.024667999999998</v>
      </c>
      <c r="DE135" s="256">
        <f>IF(AZ135&gt;0,'Look Ups'!$S$3,0)</f>
        <v>1</v>
      </c>
      <c r="DF135" s="256">
        <f>IF(LPS&gt;0,0.72*(AS/(LPS^2))^0.3,0)</f>
        <v>0</v>
      </c>
      <c r="DG135" s="256">
        <f>EFS*AS</f>
        <v>0</v>
      </c>
      <c r="DH135" s="256">
        <f>IF(LPD&gt;0,0.72*(AD/(LPD^2))^0.3,0)</f>
        <v>0</v>
      </c>
      <c r="DI135" s="280">
        <f>IF((AD-AG)&gt;0,0.3*(AD-AG)*EFD,0)</f>
        <v>0</v>
      </c>
      <c r="DJ135" s="295" t="str">
        <f>IF((SCRF=0),"-",IF(AND(MSASC&gt;AG,SCRMG&lt;(0.75*SCRF)),"valid","ERROR"))</f>
        <v>-</v>
      </c>
      <c r="DK135" s="266" t="str">
        <f>IF((SF=0),"-",IF((SMG&lt;(0.75*SF)),"ERROR",IF(AND(MSASP&gt;MSASC,MSASP&gt;AG,MSASP&gt;=0.36*RSAM),"valid","Small")))</f>
        <v>-</v>
      </c>
      <c r="DL135" s="267" t="str">
        <f>IF(C135="","",CONCATENATE("MG",IF(FLSCR="valid","Scr",""),IF(FLSPI="valid","SP","")))</f>
        <v>MG</v>
      </c>
      <c r="DM135" s="294">
        <f>RSAM+RSAG</f>
        <v>59.99708966</v>
      </c>
      <c r="DN135" s="256">
        <f>IF(MSASP&gt;0,'Look Ups'!$AI$4*(ZVAL*MSASP-RSAG),0)</f>
        <v>0</v>
      </c>
      <c r="DO135" s="256">
        <f>IF(AND(MSASC&gt;0,(MSASC&gt;=0.36*RSAM)),('Look Ups'!$AI$3*(ZVAL*MSASC-RSAG)),(0))</f>
        <v>0</v>
      </c>
      <c r="DP135" s="256">
        <f>IF(MSASP&gt;0,'Look Ups'!$AI$5*(ZVAL*MSASP-RSAG),0)</f>
        <v>0</v>
      </c>
      <c r="DQ135" s="256">
        <f>IF(MSASC&gt;0,'Look Ups'!$AI$6*(MSASC-RSAG),0)</f>
        <v>0</v>
      </c>
      <c r="DR135" s="280">
        <f>'Look Ups'!$AI$7*MAX(IF(MSAUSC&gt;0,EUSC/100*(MSAUSC-RSAG),0),IF(CR135="Yes",ELSC/100*(MSASC-RSAG),0))</f>
        <v>0</v>
      </c>
      <c r="DS135" s="280">
        <f>0.36*RSAM</f>
        <v>14.7500717976</v>
      </c>
      <c r="DT135" s="296">
        <f>_xlfn.IFS(SPC="MG",RAMG+DS135,SPC="MGScr",RAMG+RASCO,SPC="MGSp",RAMG+RASPO,SPC="MGScrSp",RAMG+RASPSC+RASCR)+RAUSC+RSAST+RSAD+RSAMZ+RSA2M</f>
        <v>74.747161457600001</v>
      </c>
      <c r="DU135" s="63"/>
    </row>
    <row r="136" spans="1:125" ht="15.6" customHeight="1" x14ac:dyDescent="0.3">
      <c r="A136" s="4"/>
      <c r="B136" s="64"/>
      <c r="C136" s="64" t="s">
        <v>535</v>
      </c>
      <c r="D136" s="85" t="s">
        <v>335</v>
      </c>
      <c r="E136" s="86" t="s">
        <v>536</v>
      </c>
      <c r="F136" s="252">
        <f ca="1">IF(RW=0,0,ROUND(DLF*0.93*RL^LF*RSA^0.4/RW^0.325,3))</f>
        <v>0.83499999999999996</v>
      </c>
      <c r="G136" s="252" t="str">
        <f ca="1">IF(OR(FLSCR="ERROR",FLSPI="ERROR"),"No",IF(TODAY()-'Look Ups'!$D$4*365&gt;I136,"WP Applied","Yes"))</f>
        <v>Yes</v>
      </c>
      <c r="H136" s="253" t="str">
        <f>IF(SPC="","",CONCATENATE("Main-Genoa",IF(FLSCR="valid",IF(OR(CR136="Yes",MSAUSC&gt;0),"-Screacher (Upwind)","-Screacher"),""),IF(FLSPI="valid","-Spinnaker",""),IF(RSAMZ&gt;0,"-Mizzen",""),IF(RSA2M&gt;0,"-Second Main",""),IF(AS&gt;0,"-Staysail",""),IF(AD&gt;0,"-Drifter","")))</f>
        <v>Main-Genoa-Screacher (Upwind)-Spinnaker</v>
      </c>
      <c r="I136" s="1">
        <v>43115</v>
      </c>
      <c r="J136" s="1">
        <v>44574</v>
      </c>
      <c r="K136" s="87" t="s">
        <v>385</v>
      </c>
      <c r="L136" s="87" t="s">
        <v>176</v>
      </c>
      <c r="M136" s="207"/>
      <c r="N136" s="88" t="s">
        <v>143</v>
      </c>
      <c r="O136" s="88" t="s">
        <v>144</v>
      </c>
      <c r="P136" s="100"/>
      <c r="Q136" s="90">
        <v>8.75</v>
      </c>
      <c r="R136" s="87"/>
      <c r="S136" s="256">
        <f>IF((LOAA&gt;LOA),0.025*LOAA,0.025*LOA)</f>
        <v>0.21875</v>
      </c>
      <c r="T136" s="91">
        <v>0.22</v>
      </c>
      <c r="U136" s="91">
        <v>0</v>
      </c>
      <c r="V136" s="258">
        <f>IF((_xlfn.SINGLE(LOAA)&gt;_xlfn.SINGLE(LOA)),_xlfn.SINGLE(LOAA),_xlfn.SINGLE(LOA)-_xlfn.SINGLE(FOC)-_xlfn.SINGLE(AOC))</f>
        <v>8.5299999999999994</v>
      </c>
      <c r="W136" s="259">
        <f>IF(RL&gt;0,IF(RL&gt;'Look Ups'!Y$7,'Look Ups'!Y$8,('Look Ups'!Y$3*RL^3+'Look Ups'!Y$4*RL^2+'Look Ups'!Y$5*RL+'Look Ups'!Y$6)),0)</f>
        <v>0.29545120574100003</v>
      </c>
      <c r="X136" s="92">
        <v>1665</v>
      </c>
      <c r="Y136" s="262">
        <f ca="1">IF(WDATE&lt;(TODAY()-'Look Ups'!$D$4*365),-WM*'Look Ups'!$D$5/100,0)</f>
        <v>0</v>
      </c>
      <c r="Z136" s="93"/>
      <c r="AA136" s="93"/>
      <c r="AB136" s="75"/>
      <c r="AC136" s="265">
        <f>WCD+NC*'Look Ups'!$AF$3</f>
        <v>0</v>
      </c>
      <c r="AD136" s="265">
        <f ca="1">IF(RL&lt;'Look Ups'!AM$3,'Look Ups'!AM$4,IF(RL&gt;'Look Ups'!AM$5,'Look Ups'!AM$6,(RL-'Look Ups'!AM$3)/('Look Ups'!AM$5-'Look Ups'!AM$3)*('Look Ups'!AM$6-'Look Ups'!AM$4)+'Look Ups'!AM$4))/100*WS</f>
        <v>388.70181818181823</v>
      </c>
      <c r="AE136" s="266">
        <f ca="1">WM+WP+WE</f>
        <v>1665</v>
      </c>
      <c r="AF136" s="267">
        <f ca="1">_xlfn.SINGLE(WS)+IF(_xlfn.SINGLE(TCW)&gt;=_xlfn.SINGLE(CWA),_xlfn.SINGLE(CWA),_xlfn.SINGLE(TCW))</f>
        <v>1665</v>
      </c>
      <c r="AG136" s="94" t="s">
        <v>145</v>
      </c>
      <c r="AH136" s="95" t="s">
        <v>146</v>
      </c>
      <c r="AI136" s="96" t="s">
        <v>147</v>
      </c>
      <c r="AJ136" s="218"/>
      <c r="AK136" s="273">
        <f>IF(C136="",0,VLOOKUP(AG136,'Look Ups'!$F$3:$G$6,2,0)*VLOOKUP(AH136,'Look Ups'!$I$3:$J$5,2,0)*VLOOKUP(AI136,'Look Ups'!$L$3:$M$7,2,0)*IF(AJ136="",1,VLOOKUP(AJ136,'Look Ups'!$O$3:$P$4,2,0)))</f>
        <v>1</v>
      </c>
      <c r="AL136" s="83">
        <v>10.71</v>
      </c>
      <c r="AM136" s="91">
        <v>10.36</v>
      </c>
      <c r="AN136" s="91">
        <v>3.61</v>
      </c>
      <c r="AO136" s="91">
        <v>1.33</v>
      </c>
      <c r="AP136" s="91">
        <v>0.24</v>
      </c>
      <c r="AQ136" s="91">
        <v>10.27</v>
      </c>
      <c r="AR136" s="91">
        <v>0.15</v>
      </c>
      <c r="AS136" s="91">
        <v>3.76</v>
      </c>
      <c r="AT136" s="91">
        <v>0</v>
      </c>
      <c r="AU136" s="91">
        <v>0.45</v>
      </c>
      <c r="AV136" s="91" t="s">
        <v>148</v>
      </c>
      <c r="AW136" s="97">
        <v>0</v>
      </c>
      <c r="AX136" s="256">
        <f>P+ER</f>
        <v>10.27</v>
      </c>
      <c r="AY136" s="256">
        <f>P*0.375*MC</f>
        <v>1.7330625</v>
      </c>
      <c r="AZ136" s="275">
        <f>IF(C136="",0,(0.5*(_ML1*LPM)+0.5*(_ML1*HB)+0.66*(P*PR)+0.66*(_ML2*RDM)+0.66*(E*ER))*VLOOKUP(BATT,'Look Ups'!$U$3:$V$4,2,0))</f>
        <v>29.111454000000002</v>
      </c>
      <c r="BA136" s="98"/>
      <c r="BB136" s="99"/>
      <c r="BC136" s="83">
        <v>9.06</v>
      </c>
      <c r="BD136" s="91">
        <v>3.31</v>
      </c>
      <c r="BE136" s="91">
        <v>3.63</v>
      </c>
      <c r="BF136" s="91">
        <v>0.24</v>
      </c>
      <c r="BG136" s="91">
        <v>8.23</v>
      </c>
      <c r="BH136" s="91"/>
      <c r="BI136" s="91"/>
      <c r="BJ136" s="91">
        <v>0.21</v>
      </c>
      <c r="BK136" s="91">
        <v>-3.5000000000000003E-2</v>
      </c>
      <c r="BL136" s="97"/>
      <c r="BM136" s="275">
        <f>(0.5*LL*LPG)+(0.5*_LG1*HG)+(0.66*LL*LLRG)+(0.66*FG*FRG)+(IF((HG&gt;0),(0.66*_LG2*LRG),(0.66*_LG1*LRG)))</f>
        <v>16.500684</v>
      </c>
      <c r="BN136" s="282"/>
      <c r="BO136" s="283"/>
      <c r="BP136" s="284"/>
      <c r="BQ136" s="284"/>
      <c r="BR136" s="283"/>
      <c r="BS136" s="284"/>
      <c r="BT136" s="284"/>
      <c r="BU136" s="280">
        <f>(0.5*LLS*LPS)+(0.66*LLS*LLRS)+(0.66*LS*LRS)+(0.66*FS*FRS)</f>
        <v>0</v>
      </c>
      <c r="BV136" s="285"/>
      <c r="BW136" s="283"/>
      <c r="BX136" s="283"/>
      <c r="BY136" s="283"/>
      <c r="BZ136" s="283"/>
      <c r="CA136" s="283"/>
      <c r="CB136" s="283"/>
      <c r="CC136" s="275">
        <f>(0.5*LLD*LPD)+(0.66*LLD*LLRD)+(0.66*LCHD*LRD)+(0.66*FD*FRD)</f>
        <v>0</v>
      </c>
      <c r="CD136" s="98">
        <v>8.44</v>
      </c>
      <c r="CE136" s="91">
        <v>12.16</v>
      </c>
      <c r="CF136" s="91">
        <v>11.29</v>
      </c>
      <c r="CG136" s="91">
        <v>7.37</v>
      </c>
      <c r="CH136" s="266">
        <f>IF(SF&gt;0,SMG/SF*100,"")</f>
        <v>87.322274881516591</v>
      </c>
      <c r="CI136" s="283"/>
      <c r="CJ136" s="280">
        <f>SF*(_SL1+_SL2)/4+(SMG-SF/2)*(_SL1+_SL2)/3</f>
        <v>74.102000000000004</v>
      </c>
      <c r="CK136" s="83">
        <v>7.07</v>
      </c>
      <c r="CL136" s="91">
        <v>10.58</v>
      </c>
      <c r="CM136" s="91">
        <v>9.48</v>
      </c>
      <c r="CN136" s="91">
        <v>3.67</v>
      </c>
      <c r="CO136" s="256">
        <f>IF(SCRF&gt;0,SCRMG/SCRF*100,"")</f>
        <v>51.909476661951906</v>
      </c>
      <c r="CP136" s="283"/>
      <c r="CQ136" s="256">
        <f>SCRF*(SCRL1+SCRL2)/4+(SCRMG-SCRF/2)*(SCRL1+SCRL2)/3</f>
        <v>36.358750000000001</v>
      </c>
      <c r="CR136" s="256" t="str">
        <f>IF(CO136&lt;'Look Ups'!$AC$4,"Yes","No")</f>
        <v>Yes</v>
      </c>
      <c r="CS136" s="267">
        <f>IF(CR136="Yes",MIN(150,('Look Ups'!$AC$4-PSCR)/('Look Ups'!$AC$4-'Look Ups'!$AC$3)*100),0)</f>
        <v>1.8104667609618728</v>
      </c>
      <c r="CT136" s="83"/>
      <c r="CU136" s="91"/>
      <c r="CV136" s="91"/>
      <c r="CW136" s="91"/>
      <c r="CX136" s="256" t="str">
        <f>IF(USCRF&gt;0,USCRMG/USCRF*100,"")</f>
        <v/>
      </c>
      <c r="CY136" s="293">
        <f>IF(PUSCR&lt;'Look Ups'!$AC$4,MIN(150,('Look Ups'!$AC$4-PUSCR)/('Look Ups'!$AC$4-'Look Ups'!$AC$3)*100),0)</f>
        <v>0</v>
      </c>
      <c r="CZ136" s="275">
        <f>IF(PUSCR&lt;'Look Ups'!$AC$4,USCRF*(USCRL1+USCRL2)/4+(USCRMG-USCRF/2)*(USCRL1+USCRL2)/3,0)</f>
        <v>0</v>
      </c>
      <c r="DA136" s="294">
        <f>IF(ZVAL=1,1,IF(LPM&gt;0,0.64*((AM+MAM)/(E+(MC/2))^2)^0.3,0))</f>
        <v>1</v>
      </c>
      <c r="DB136" s="256">
        <f>0.65*((AM+MAM)*EFM)+0.35*((AM+MAM)*ZVAL)</f>
        <v>30.844516499999997</v>
      </c>
      <c r="DC136" s="256">
        <f>IF(ZVAL=1,1,IF(LPG&gt;0,0.72*(AG/(LPG^2))^0.3,0))</f>
        <v>1</v>
      </c>
      <c r="DD136" s="256">
        <f>AG*EFG</f>
        <v>16.500684</v>
      </c>
      <c r="DE136" s="256">
        <f>IF(AZ136&gt;0,'Look Ups'!$S$3,0)</f>
        <v>1</v>
      </c>
      <c r="DF136" s="256">
        <f>IF(LPS&gt;0,0.72*(AS/(LPS^2))^0.3,0)</f>
        <v>0</v>
      </c>
      <c r="DG136" s="256">
        <f>EFS*AS</f>
        <v>0</v>
      </c>
      <c r="DH136" s="256">
        <f>IF(LPD&gt;0,0.72*(AD/(LPD^2))^0.3,0)</f>
        <v>0</v>
      </c>
      <c r="DI136" s="280">
        <f>IF((AD-AG)&gt;0,0.3*(AD-AG)*EFD,0)</f>
        <v>0</v>
      </c>
      <c r="DJ136" s="295" t="str">
        <f>IF((SCRF=0),"-",IF(AND(MSASC&gt;AG,SCRMG&lt;(0.75*SCRF)),"valid","ERROR"))</f>
        <v>valid</v>
      </c>
      <c r="DK136" s="266" t="str">
        <f>IF((SF=0),"-",IF((SMG&lt;(0.75*SF)),"ERROR",IF(AND(MSASP&gt;MSASC,MSASP&gt;AG,MSASP&gt;=0.36*RSAM),"valid","Small")))</f>
        <v>valid</v>
      </c>
      <c r="DL136" s="267" t="str">
        <f>IF(C136="","",CONCATENATE("MG",IF(FLSCR="valid","Scr",""),IF(FLSPI="valid","SP","")))</f>
        <v>MGScrSP</v>
      </c>
      <c r="DM136" s="294">
        <f>RSAM+RSAG</f>
        <v>47.345200499999997</v>
      </c>
      <c r="DN136" s="256">
        <f>IF(MSASP&gt;0,'Look Ups'!$AI$4*(ZVAL*MSASP-RSAG),0)</f>
        <v>17.2803948</v>
      </c>
      <c r="DO136" s="256">
        <f>IF(AND(MSASC&gt;0,(MSASC&gt;=0.36*RSAM)),('Look Ups'!$AI$3*(ZVAL*MSASC-RSAG)),(0))</f>
        <v>6.9503231000000003</v>
      </c>
      <c r="DP136" s="256">
        <f>IF(MSASP&gt;0,'Look Ups'!$AI$5*(ZVAL*MSASP-RSAG),0)</f>
        <v>16.128368480000002</v>
      </c>
      <c r="DQ136" s="256">
        <f>IF(MSASC&gt;0,'Look Ups'!$AI$6*(MSASC-RSAG),0)</f>
        <v>1.3900646200000002</v>
      </c>
      <c r="DR136" s="280">
        <f>'Look Ups'!$AI$7*MAX(IF(MSAUSC&gt;0,EUSC/100*(MSAUSC-RSAG),0),IF(CR136="Yes",ELSC/100*(MSASC-RSAG),0))</f>
        <v>8.9880921074967743E-2</v>
      </c>
      <c r="DS136" s="280">
        <f>0.36*RSAM</f>
        <v>11.104025939999998</v>
      </c>
      <c r="DT136" s="296">
        <f>_xlfn.IFS(SPC="MG",RAMG+DS136,SPC="MGScr",RAMG+RASCO,SPC="MGSp",RAMG+RASPO,SPC="MGScrSp",RAMG+RASPSC+RASCR)+RAUSC+RSAST+RSAD+RSAMZ+RSA2M</f>
        <v>64.953514521074965</v>
      </c>
      <c r="DU136" s="63"/>
    </row>
    <row r="137" spans="1:125" ht="15.6" customHeight="1" x14ac:dyDescent="0.3">
      <c r="A137" s="4"/>
      <c r="B137" s="64"/>
      <c r="C137" s="64" t="s">
        <v>537</v>
      </c>
      <c r="D137" s="85" t="s">
        <v>139</v>
      </c>
      <c r="E137" s="86" t="s">
        <v>258</v>
      </c>
      <c r="F137" s="252">
        <f ca="1">IF(RW=0,0,ROUND(DLF*0.93*RL^LF*RSA^0.4/RW^0.325,3))</f>
        <v>0.78900000000000003</v>
      </c>
      <c r="G137" s="252" t="str">
        <f ca="1">IF(OR(FLSCR="ERROR",FLSPI="ERROR"),"No",IF(TODAY()-'Look Ups'!$D$4*365&gt;I137,"WP Applied","Yes"))</f>
        <v>Yes</v>
      </c>
      <c r="H137" s="253" t="str">
        <f>IF(SPC="","",CONCATENATE("Main-Genoa",IF(FLSCR="valid",IF(OR(CR137="Yes",MSAUSC&gt;0),"-Screacher (Upwind)","-Screacher"),""),IF(FLSPI="valid","-Spinnaker",""),IF(RSAMZ&gt;0,"-Mizzen",""),IF(RSA2M&gt;0,"-Second Main",""),IF(AS&gt;0,"-Staysail",""),IF(AD&gt;0,"-Drifter","")))</f>
        <v>Main-Genoa-Screacher (Upwind)-Spinnaker</v>
      </c>
      <c r="I137" s="1">
        <v>43398</v>
      </c>
      <c r="J137" s="1">
        <v>43398</v>
      </c>
      <c r="K137" s="87" t="s">
        <v>385</v>
      </c>
      <c r="L137" s="87" t="s">
        <v>142</v>
      </c>
      <c r="M137" s="207"/>
      <c r="N137" s="88" t="s">
        <v>143</v>
      </c>
      <c r="O137" s="88" t="s">
        <v>144</v>
      </c>
      <c r="P137" s="100"/>
      <c r="Q137" s="90">
        <v>7.32</v>
      </c>
      <c r="R137" s="87"/>
      <c r="S137" s="256">
        <f>IF((LOAA&gt;LOA),0.025*LOAA,0.025*LOA)</f>
        <v>0.18300000000000002</v>
      </c>
      <c r="T137" s="91">
        <v>0.01</v>
      </c>
      <c r="U137" s="91"/>
      <c r="V137" s="258">
        <f>IF((_xlfn.SINGLE(LOAA)&gt;_xlfn.SINGLE(LOA)),_xlfn.SINGLE(LOAA),_xlfn.SINGLE(LOA)-_xlfn.SINGLE(FOC)-_xlfn.SINGLE(AOC))</f>
        <v>7.3100000000000005</v>
      </c>
      <c r="W137" s="259">
        <f>IF(RL&gt;0,IF(RL&gt;'Look Ups'!Y$7,'Look Ups'!Y$8,('Look Ups'!Y$3*RL^3+'Look Ups'!Y$4*RL^2+'Look Ups'!Y$5*RL+'Look Ups'!Y$6)),0)</f>
        <v>0.29112485040300001</v>
      </c>
      <c r="X137" s="92">
        <v>1220</v>
      </c>
      <c r="Y137" s="262">
        <f ca="1">IF(WDATE&lt;(TODAY()-'Look Ups'!$D$4*365),-WM*'Look Ups'!$D$5/100,0)</f>
        <v>0</v>
      </c>
      <c r="Z137" s="93"/>
      <c r="AA137" s="93"/>
      <c r="AB137" s="394"/>
      <c r="AC137" s="265">
        <f>WCD+NC*'Look Ups'!$AF$3</f>
        <v>0</v>
      </c>
      <c r="AD137" s="265">
        <f ca="1">IF(RL&lt;'Look Ups'!AM$3,'Look Ups'!AM$4,IF(RL&gt;'Look Ups'!AM$5,'Look Ups'!AM$6,(RL-'Look Ups'!AM$3)/('Look Ups'!AM$5-'Look Ups'!AM$3)*('Look Ups'!AM$6-'Look Ups'!AM$4)+'Look Ups'!AM$4))/100*WS</f>
        <v>338.93818181818182</v>
      </c>
      <c r="AE137" s="266">
        <f ca="1">WM+WP+WE</f>
        <v>1220</v>
      </c>
      <c r="AF137" s="267">
        <f ca="1">_xlfn.SINGLE(WS)+IF(_xlfn.SINGLE(TCW)&gt;=_xlfn.SINGLE(CWA),_xlfn.SINGLE(CWA),_xlfn.SINGLE(TCW))</f>
        <v>1220</v>
      </c>
      <c r="AG137" s="94" t="s">
        <v>145</v>
      </c>
      <c r="AH137" s="95" t="s">
        <v>146</v>
      </c>
      <c r="AI137" s="96" t="s">
        <v>147</v>
      </c>
      <c r="AJ137" s="218"/>
      <c r="AK137" s="273">
        <f>IF(C137="",0,VLOOKUP(AG137,'Look Ups'!$F$3:$G$6,2,0)*VLOOKUP(AH137,'Look Ups'!$I$3:$J$5,2,0)*VLOOKUP(AI137,'Look Ups'!$L$3:$M$7,2,0)*IF(AJ137="",1,VLOOKUP(AJ137,'Look Ups'!$O$3:$P$4,2,0)))</f>
        <v>1</v>
      </c>
      <c r="AL137" s="83">
        <v>10</v>
      </c>
      <c r="AM137" s="91">
        <v>9.68</v>
      </c>
      <c r="AN137" s="91">
        <v>3.11</v>
      </c>
      <c r="AO137" s="91">
        <v>1.25</v>
      </c>
      <c r="AP137" s="91">
        <v>0.32500000000000001</v>
      </c>
      <c r="AQ137" s="91">
        <v>9.67</v>
      </c>
      <c r="AR137" s="91">
        <v>0.02</v>
      </c>
      <c r="AS137" s="91">
        <v>3.23</v>
      </c>
      <c r="AT137" s="91">
        <v>0.04</v>
      </c>
      <c r="AU137" s="91">
        <v>0.48</v>
      </c>
      <c r="AV137" s="91" t="s">
        <v>148</v>
      </c>
      <c r="AW137" s="97"/>
      <c r="AX137" s="256">
        <f>P+ER</f>
        <v>9.7099999999999991</v>
      </c>
      <c r="AY137" s="256">
        <f>P*0.375*MC</f>
        <v>1.7405999999999999</v>
      </c>
      <c r="AZ137" s="275">
        <f>IF(C137="",0,(0.5*(_ML1*LPM)+0.5*(_ML1*HB)+0.66*(P*PR)+0.66*(_ML2*RDM)+0.66*(E*ER))*VLOOKUP(BATT,'Look Ups'!$U$3:$V$4,2,0))</f>
        <v>24.089275999999998</v>
      </c>
      <c r="BA137" s="98"/>
      <c r="BB137" s="99"/>
      <c r="BC137" s="121">
        <v>8.99</v>
      </c>
      <c r="BD137" s="115">
        <v>2.6</v>
      </c>
      <c r="BE137" s="115">
        <v>2.91</v>
      </c>
      <c r="BF137" s="115">
        <v>0.115</v>
      </c>
      <c r="BG137" s="115">
        <v>8.0500000000000007</v>
      </c>
      <c r="BH137" s="115"/>
      <c r="BI137" s="115">
        <v>0.02</v>
      </c>
      <c r="BJ137" s="115">
        <v>-0.11</v>
      </c>
      <c r="BK137" s="115">
        <v>0.03</v>
      </c>
      <c r="BL137" s="97"/>
      <c r="BM137" s="275">
        <f>(0.5*LL*LPG)+(0.5*_LG1*HG)+(0.66*LL*LLRG)+(0.66*FG*FRG)+(IF((HG&gt;0),(0.66*_LG2*LRG),(0.66*_LG1*LRG)))</f>
        <v>12.166371000000002</v>
      </c>
      <c r="BN137" s="282"/>
      <c r="BO137" s="283"/>
      <c r="BP137" s="284"/>
      <c r="BQ137" s="284"/>
      <c r="BR137" s="283"/>
      <c r="BS137" s="284"/>
      <c r="BT137" s="284"/>
      <c r="BU137" s="280">
        <f>(0.5*LLS*LPS)+(0.66*LLS*LLRS)+(0.66*LS*LRS)+(0.66*FS*FRS)</f>
        <v>0</v>
      </c>
      <c r="BV137" s="285"/>
      <c r="BW137" s="283"/>
      <c r="BX137" s="283"/>
      <c r="BY137" s="283"/>
      <c r="BZ137" s="283"/>
      <c r="CA137" s="283"/>
      <c r="CB137" s="283"/>
      <c r="CC137" s="275">
        <f>(0.5*LLD*LPD)+(0.66*LLD*LLRD)+(0.66*LCHD*LRD)+(0.66*FD*FRD)</f>
        <v>0</v>
      </c>
      <c r="CD137" s="98">
        <v>6.87</v>
      </c>
      <c r="CE137" s="91">
        <v>10.7</v>
      </c>
      <c r="CF137" s="91">
        <v>9.68</v>
      </c>
      <c r="CG137" s="91">
        <v>5.5</v>
      </c>
      <c r="CH137" s="266">
        <f>IF(SF&gt;0,SMG/SF*100,"")</f>
        <v>80.05822416302766</v>
      </c>
      <c r="CI137" s="283"/>
      <c r="CJ137" s="280">
        <f>SF*(_SL1+_SL2)/4+(SMG-SF/2)*(_SL1+_SL2)/3</f>
        <v>49.030883333333328</v>
      </c>
      <c r="CK137" s="83">
        <v>5.2</v>
      </c>
      <c r="CL137" s="91">
        <v>9.9</v>
      </c>
      <c r="CM137" s="91">
        <v>8.7799999999999994</v>
      </c>
      <c r="CN137" s="91">
        <v>2.62</v>
      </c>
      <c r="CO137" s="256">
        <f>IF(SCRF&gt;0,SCRMG/SCRF*100,"")</f>
        <v>50.384615384615387</v>
      </c>
      <c r="CP137" s="283"/>
      <c r="CQ137" s="256">
        <f>SCRF*(SCRL1+SCRL2)/4+(SCRMG-SCRF/2)*(SCRL1+SCRL2)/3</f>
        <v>24.408533333333331</v>
      </c>
      <c r="CR137" s="256" t="str">
        <f>IF(CO137&lt;'Look Ups'!$AC$4,"Yes","No")</f>
        <v>Yes</v>
      </c>
      <c r="CS137" s="267">
        <f>IF(CR137="Yes",MIN(150,('Look Ups'!$AC$4-PSCR)/('Look Ups'!$AC$4-'Look Ups'!$AC$3)*100),0)</f>
        <v>32.307692307692264</v>
      </c>
      <c r="CT137" s="83"/>
      <c r="CU137" s="91"/>
      <c r="CV137" s="91"/>
      <c r="CW137" s="91"/>
      <c r="CX137" s="256" t="str">
        <f>IF(USCRF&gt;0,USCRMG/USCRF*100,"")</f>
        <v/>
      </c>
      <c r="CY137" s="293">
        <f>IF(PUSCR&lt;'Look Ups'!$AC$4,MIN(150,('Look Ups'!$AC$4-PUSCR)/('Look Ups'!$AC$4-'Look Ups'!$AC$3)*100),0)</f>
        <v>0</v>
      </c>
      <c r="CZ137" s="275">
        <f>IF(PUSCR&lt;'Look Ups'!$AC$4,USCRF*(USCRL1+USCRL2)/4+(USCRMG-USCRF/2)*(USCRL1+USCRL2)/3,0)</f>
        <v>0</v>
      </c>
      <c r="DA137" s="294">
        <f>IF(ZVAL=1,1,IF(LPM&gt;0,0.64*((AM+MAM)/(E+(MC/2))^2)^0.3,0))</f>
        <v>1</v>
      </c>
      <c r="DB137" s="256">
        <f>0.65*((AM+MAM)*EFM)+0.35*((AM+MAM)*ZVAL)</f>
        <v>25.829875999999999</v>
      </c>
      <c r="DC137" s="256">
        <f>IF(ZVAL=1,1,IF(LPG&gt;0,0.72*(AG/(LPG^2))^0.3,0))</f>
        <v>1</v>
      </c>
      <c r="DD137" s="256">
        <f>AG*EFG</f>
        <v>12.166371000000002</v>
      </c>
      <c r="DE137" s="256">
        <f>IF(AZ137&gt;0,'Look Ups'!$S$3,0)</f>
        <v>1</v>
      </c>
      <c r="DF137" s="256">
        <f>IF(LPS&gt;0,0.72*(AS/(LPS^2))^0.3,0)</f>
        <v>0</v>
      </c>
      <c r="DG137" s="256">
        <f>EFS*AS</f>
        <v>0</v>
      </c>
      <c r="DH137" s="256">
        <f>IF(LPD&gt;0,0.72*(AD/(LPD^2))^0.3,0)</f>
        <v>0</v>
      </c>
      <c r="DI137" s="280">
        <f>IF((AD-AG)&gt;0,0.3*(AD-AG)*EFD,0)</f>
        <v>0</v>
      </c>
      <c r="DJ137" s="295" t="str">
        <f>IF((SCRF=0),"-",IF(AND(MSASC&gt;AG,SCRMG&lt;(0.75*SCRF)),"valid","ERROR"))</f>
        <v>valid</v>
      </c>
      <c r="DK137" s="266" t="str">
        <f>IF((SF=0),"-",IF((SMG&lt;(0.75*SF)),"ERROR",IF(AND(MSASP&gt;MSASC,MSASP&gt;AG,MSASP&gt;=0.36*RSAM),"valid","Small")))</f>
        <v>valid</v>
      </c>
      <c r="DL137" s="267" t="str">
        <f>IF(C137="","",CONCATENATE("MG",IF(FLSCR="valid","Scr",""),IF(FLSPI="valid","SP","")))</f>
        <v>MGScrSP</v>
      </c>
      <c r="DM137" s="294">
        <f>RSAM+RSAG</f>
        <v>37.996246999999997</v>
      </c>
      <c r="DN137" s="256">
        <f>IF(MSASP&gt;0,'Look Ups'!$AI$4*(ZVAL*MSASP-RSAG),0)</f>
        <v>11.059353699999997</v>
      </c>
      <c r="DO137" s="256">
        <f>IF(AND(MSASC&gt;0,(MSASC&gt;=0.36*RSAM)),('Look Ups'!$AI$3*(ZVAL*MSASC-RSAG)),(0))</f>
        <v>4.2847568166666647</v>
      </c>
      <c r="DP137" s="256">
        <f>IF(MSASP&gt;0,'Look Ups'!$AI$5*(ZVAL*MSASP-RSAG),0)</f>
        <v>10.322063453333332</v>
      </c>
      <c r="DQ137" s="256">
        <f>IF(MSASC&gt;0,'Look Ups'!$AI$6*(MSASC-RSAG),0)</f>
        <v>0.8569513633333331</v>
      </c>
      <c r="DR137" s="280">
        <f>'Look Ups'!$AI$7*MAX(IF(MSAUSC&gt;0,EUSC/100*(MSAUSC-RSAG),0),IF(CR137="Yes",ELSC/100*(MSASC-RSAG),0))</f>
        <v>0.98879003461538295</v>
      </c>
      <c r="DS137" s="280">
        <f>0.36*RSAM</f>
        <v>9.2987553599999995</v>
      </c>
      <c r="DT137" s="296">
        <f>_xlfn.IFS(SPC="MG",RAMG+DS137,SPC="MGScr",RAMG+RASCO,SPC="MGSp",RAMG+RASPO,SPC="MGScrSp",RAMG+RASPSC+RASCR)+RAUSC+RSAST+RSAD+RSAMZ+RSA2M</f>
        <v>50.164051851282039</v>
      </c>
      <c r="DU137" s="63"/>
    </row>
    <row r="138" spans="1:125" ht="15.6" customHeight="1" x14ac:dyDescent="0.3">
      <c r="A138" s="4"/>
      <c r="B138" s="64"/>
      <c r="C138" s="64" t="s">
        <v>538</v>
      </c>
      <c r="D138" s="85" t="s">
        <v>194</v>
      </c>
      <c r="E138" s="86" t="s">
        <v>539</v>
      </c>
      <c r="F138" s="252">
        <f ca="1">IF(RW=0,0,ROUND(DLF*0.93*RL^LF*RSA^0.4/RW^0.325,3))</f>
        <v>0.89600000000000002</v>
      </c>
      <c r="G138" s="252" t="str">
        <f ca="1">IF(OR(FLSCR="ERROR",FLSPI="ERROR"),"No",IF(TODAY()-'Look Ups'!$D$4*365&gt;I138,"WP Applied","Yes"))</f>
        <v>WP Applied</v>
      </c>
      <c r="H138" s="253" t="str">
        <f>IF(SPC="","",CONCATENATE("Main-Genoa",IF(FLSCR="valid",IF(OR(CR138="Yes",MSAUSC&gt;0),"-Screacher (Upwind)","-Screacher"),""),IF(FLSPI="valid","-Spinnaker",""),IF(RSAMZ&gt;0,"-Mizzen",""),IF(RSA2M&gt;0,"-Second Main",""),IF(AS&gt;0,"-Staysail",""),IF(AD&gt;0,"-Drifter","")))</f>
        <v>Main-Genoa-Screacher (Upwind)-Spinnaker</v>
      </c>
      <c r="I138" s="1">
        <v>41955</v>
      </c>
      <c r="J138" s="1">
        <v>43859</v>
      </c>
      <c r="K138" s="87" t="s">
        <v>270</v>
      </c>
      <c r="L138" s="87" t="s">
        <v>176</v>
      </c>
      <c r="M138" s="207"/>
      <c r="N138" s="88" t="s">
        <v>143</v>
      </c>
      <c r="O138" s="88" t="s">
        <v>154</v>
      </c>
      <c r="P138" s="100"/>
      <c r="Q138" s="90">
        <v>7.34</v>
      </c>
      <c r="R138" s="87"/>
      <c r="S138" s="256">
        <f>IF((LOAA&gt;LOA),0.025*LOAA,0.025*LOA)</f>
        <v>0.1835</v>
      </c>
      <c r="T138" s="91">
        <v>0.15</v>
      </c>
      <c r="U138" s="91">
        <v>0</v>
      </c>
      <c r="V138" s="258">
        <f>IF((_xlfn.SINGLE(LOAA)&gt;_xlfn.SINGLE(LOA)),_xlfn.SINGLE(LOAA),_xlfn.SINGLE(LOA)-_xlfn.SINGLE(FOC)-_xlfn.SINGLE(AOC))</f>
        <v>7.1899999999999995</v>
      </c>
      <c r="W138" s="259">
        <f>IF(RL&gt;0,IF(RL&gt;'Look Ups'!Y$7,'Look Ups'!Y$8,('Look Ups'!Y$3*RL^3+'Look Ups'!Y$4*RL^2+'Look Ups'!Y$5*RL+'Look Ups'!Y$6)),0)</f>
        <v>0.29059639364700002</v>
      </c>
      <c r="X138" s="92">
        <v>965</v>
      </c>
      <c r="Y138" s="262">
        <f ca="1">IF(WDATE&lt;(TODAY()-'Look Ups'!$D$4*365),-WM*'Look Ups'!$D$5/100,0)</f>
        <v>-144.75</v>
      </c>
      <c r="Z138" s="93"/>
      <c r="AA138" s="93"/>
      <c r="AB138" s="75"/>
      <c r="AC138" s="265">
        <f>WCD+NC*'Look Ups'!$AF$3</f>
        <v>0</v>
      </c>
      <c r="AD138" s="265">
        <f ca="1">IF(RL&lt;'Look Ups'!AM$3,'Look Ups'!AM$4,IF(RL&gt;'Look Ups'!AM$5,'Look Ups'!AM$6,(RL-'Look Ups'!AM$3)/('Look Ups'!AM$5-'Look Ups'!AM$3)*('Look Ups'!AM$6-'Look Ups'!AM$4)+'Look Ups'!AM$4))/100*WS</f>
        <v>231.45963636363638</v>
      </c>
      <c r="AE138" s="266">
        <f ca="1">WM+WP+WE</f>
        <v>820.25</v>
      </c>
      <c r="AF138" s="267">
        <f ca="1">_xlfn.SINGLE(WS)+IF(_xlfn.SINGLE(TCW)&gt;=_xlfn.SINGLE(CWA),_xlfn.SINGLE(CWA),_xlfn.SINGLE(TCW))</f>
        <v>820.25</v>
      </c>
      <c r="AG138" s="94" t="s">
        <v>145</v>
      </c>
      <c r="AH138" s="95" t="s">
        <v>146</v>
      </c>
      <c r="AI138" s="96" t="s">
        <v>147</v>
      </c>
      <c r="AJ138" s="218"/>
      <c r="AK138" s="273">
        <f>IF(C138="",0,VLOOKUP(AG138,'Look Ups'!$F$3:$G$6,2,0)*VLOOKUP(AH138,'Look Ups'!$I$3:$J$5,2,0)*VLOOKUP(AI138,'Look Ups'!$L$3:$M$7,2,0)*IF(AJ138="",1,VLOOKUP(AJ138,'Look Ups'!$O$3:$P$4,2,0)))</f>
        <v>1</v>
      </c>
      <c r="AL138" s="83">
        <v>10.050000000000001</v>
      </c>
      <c r="AM138" s="91">
        <v>9.6999999999999993</v>
      </c>
      <c r="AN138" s="91">
        <v>3.15</v>
      </c>
      <c r="AO138" s="91">
        <v>1.03</v>
      </c>
      <c r="AP138" s="91">
        <v>0.3</v>
      </c>
      <c r="AQ138" s="91">
        <v>9.75</v>
      </c>
      <c r="AR138" s="91">
        <v>0.08</v>
      </c>
      <c r="AS138" s="91">
        <v>3.2</v>
      </c>
      <c r="AT138" s="91">
        <v>0.12</v>
      </c>
      <c r="AU138" s="91">
        <v>0.48</v>
      </c>
      <c r="AV138" s="91" t="s">
        <v>148</v>
      </c>
      <c r="AW138" s="97">
        <v>20</v>
      </c>
      <c r="AX138" s="256">
        <f>P+ER</f>
        <v>9.8699999999999992</v>
      </c>
      <c r="AY138" s="256">
        <f>P*0.375*MC</f>
        <v>1.7549999999999999</v>
      </c>
      <c r="AZ138" s="275">
        <f>IF(C138="",0,(0.5*(_ML1*LPM)+0.5*(_ML1*HB)+0.66*(P*PR)+0.66*(_ML2*RDM)+0.66*(E*ER))*VLOOKUP(BATT,'Look Ups'!$U$3:$V$4,2,0))</f>
        <v>23.693340000000003</v>
      </c>
      <c r="BA138" s="98"/>
      <c r="BB138" s="99"/>
      <c r="BC138" s="83">
        <v>8.8800000000000008</v>
      </c>
      <c r="BD138" s="91">
        <v>2.61</v>
      </c>
      <c r="BE138" s="91">
        <v>2.92</v>
      </c>
      <c r="BF138" s="91">
        <v>0.16</v>
      </c>
      <c r="BG138" s="91">
        <v>8.0299999999999994</v>
      </c>
      <c r="BH138" s="91"/>
      <c r="BI138" s="91">
        <v>0</v>
      </c>
      <c r="BJ138" s="91">
        <v>0.05</v>
      </c>
      <c r="BK138" s="91">
        <v>0.15</v>
      </c>
      <c r="BL138" s="97" t="s">
        <v>540</v>
      </c>
      <c r="BM138" s="275">
        <f>(0.5*LL*LPG)+(0.5*_LG1*HG)+(0.66*LL*LLRG)+(0.66*FG*FRG)+(IF((HG&gt;0),(0.66*_LG2*LRG),(0.66*_LG1*LRG)))</f>
        <v>13.040861999999999</v>
      </c>
      <c r="BN138" s="282"/>
      <c r="BO138" s="283"/>
      <c r="BP138" s="284"/>
      <c r="BQ138" s="284"/>
      <c r="BR138" s="283"/>
      <c r="BS138" s="284"/>
      <c r="BT138" s="284"/>
      <c r="BU138" s="280">
        <f>(0.5*LLS*LPS)+(0.66*LLS*LLRS)+(0.66*LS*LRS)+(0.66*FS*FRS)</f>
        <v>0</v>
      </c>
      <c r="BV138" s="285"/>
      <c r="BW138" s="283"/>
      <c r="BX138" s="283"/>
      <c r="BY138" s="283"/>
      <c r="BZ138" s="283"/>
      <c r="CA138" s="283"/>
      <c r="CB138" s="283"/>
      <c r="CC138" s="275">
        <f>(0.5*LLD*LPD)+(0.66*LLD*LLRD)+(0.66*LCHD*LRD)+(0.66*FD*FRD)</f>
        <v>0</v>
      </c>
      <c r="CD138" s="98">
        <v>6.86</v>
      </c>
      <c r="CE138" s="91">
        <v>11.18</v>
      </c>
      <c r="CF138" s="91">
        <v>10.07</v>
      </c>
      <c r="CG138" s="91">
        <v>5.72</v>
      </c>
      <c r="CH138" s="266">
        <f>IF(SF&gt;0,SMG/SF*100,"")</f>
        <v>83.381924198250729</v>
      </c>
      <c r="CI138" s="283"/>
      <c r="CJ138" s="280">
        <f>SF*(_SL1+_SL2)/4+(SMG-SF/2)*(_SL1+_SL2)/3</f>
        <v>52.664583333333333</v>
      </c>
      <c r="CK138" s="83">
        <v>5.6</v>
      </c>
      <c r="CL138" s="91">
        <v>10</v>
      </c>
      <c r="CM138" s="91">
        <v>8.86</v>
      </c>
      <c r="CN138" s="91">
        <v>2.9</v>
      </c>
      <c r="CO138" s="256">
        <f>IF(SCRF&gt;0,SCRMG/SCRF*100,"")</f>
        <v>51.785714285714292</v>
      </c>
      <c r="CP138" s="283"/>
      <c r="CQ138" s="256">
        <f>SCRF*(SCRL1+SCRL2)/4+(SCRMG-SCRF/2)*(SCRL1+SCRL2)/3</f>
        <v>27.032666666666664</v>
      </c>
      <c r="CR138" s="256" t="str">
        <f>IF(CO138&lt;'Look Ups'!$AC$4,"Yes","No")</f>
        <v>Yes</v>
      </c>
      <c r="CS138" s="267">
        <f>IF(CR138="Yes",MIN(150,('Look Ups'!$AC$4-PSCR)/('Look Ups'!$AC$4-'Look Ups'!$AC$3)*100),0)</f>
        <v>4.2857142857141639</v>
      </c>
      <c r="CT138" s="83"/>
      <c r="CU138" s="91"/>
      <c r="CV138" s="91"/>
      <c r="CW138" s="91"/>
      <c r="CX138" s="256" t="str">
        <f>IF(USCRF&gt;0,USCRMG/USCRF*100,"")</f>
        <v/>
      </c>
      <c r="CY138" s="293">
        <f>IF(PUSCR&lt;'Look Ups'!$AC$4,MIN(150,('Look Ups'!$AC$4-PUSCR)/('Look Ups'!$AC$4-'Look Ups'!$AC$3)*100),0)</f>
        <v>0</v>
      </c>
      <c r="CZ138" s="275">
        <f>IF(PUSCR&lt;'Look Ups'!$AC$4,USCRF*(USCRL1+USCRL2)/4+(USCRMG-USCRF/2)*(USCRL1+USCRL2)/3,0)</f>
        <v>0</v>
      </c>
      <c r="DA138" s="294">
        <f>IF(ZVAL=1,1,IF(LPM&gt;0,0.64*((AM+MAM)/(E+(MC/2))^2)^0.3,0))</f>
        <v>1</v>
      </c>
      <c r="DB138" s="256">
        <f>0.65*((AM+MAM)*EFM)+0.35*((AM+MAM)*ZVAL)</f>
        <v>25.448340000000002</v>
      </c>
      <c r="DC138" s="256">
        <f>IF(ZVAL=1,1,IF(LPG&gt;0,0.72*(AG/(LPG^2))^0.3,0))</f>
        <v>1</v>
      </c>
      <c r="DD138" s="256">
        <f>AG*EFG</f>
        <v>13.040861999999999</v>
      </c>
      <c r="DE138" s="256">
        <f>IF(AZ138&gt;0,'Look Ups'!$S$3,0)</f>
        <v>1</v>
      </c>
      <c r="DF138" s="256">
        <f>IF(LPS&gt;0,0.72*(AS/(LPS^2))^0.3,0)</f>
        <v>0</v>
      </c>
      <c r="DG138" s="256">
        <f>EFS*AS</f>
        <v>0</v>
      </c>
      <c r="DH138" s="256">
        <f>IF(LPD&gt;0,0.72*(AD/(LPD^2))^0.3,0)</f>
        <v>0</v>
      </c>
      <c r="DI138" s="280">
        <f>IF((AD-AG)&gt;0,0.3*(AD-AG)*EFD,0)</f>
        <v>0</v>
      </c>
      <c r="DJ138" s="295" t="str">
        <f>IF((SCRF=0),"-",IF(AND(MSASC&gt;AG,SCRMG&lt;(0.75*SCRF)),"valid","ERROR"))</f>
        <v>valid</v>
      </c>
      <c r="DK138" s="266" t="str">
        <f>IF((SF=0),"-",IF((SMG&lt;(0.75*SF)),"ERROR",IF(AND(MSASP&gt;MSASC,MSASP&gt;AG,MSASP&gt;=0.36*RSAM),"valid","Small")))</f>
        <v>valid</v>
      </c>
      <c r="DL138" s="267" t="str">
        <f>IF(C138="","",CONCATENATE("MG",IF(FLSCR="valid","Scr",""),IF(FLSPI="valid","SP","")))</f>
        <v>MGScrSP</v>
      </c>
      <c r="DM138" s="294">
        <f>RSAM+RSAG</f>
        <v>38.489201999999999</v>
      </c>
      <c r="DN138" s="256">
        <f>IF(MSASP&gt;0,'Look Ups'!$AI$4*(ZVAL*MSASP-RSAG),0)</f>
        <v>11.8871164</v>
      </c>
      <c r="DO138" s="256">
        <f>IF(AND(MSASC&gt;0,(MSASC&gt;=0.36*RSAM)),('Look Ups'!$AI$3*(ZVAL*MSASC-RSAG)),(0))</f>
        <v>4.8971316333333323</v>
      </c>
      <c r="DP138" s="256">
        <f>IF(MSASP&gt;0,'Look Ups'!$AI$5*(ZVAL*MSASP-RSAG),0)</f>
        <v>11.094641973333335</v>
      </c>
      <c r="DQ138" s="256">
        <f>IF(MSASC&gt;0,'Look Ups'!$AI$6*(MSASC-RSAG),0)</f>
        <v>0.97942632666666662</v>
      </c>
      <c r="DR138" s="280">
        <f>'Look Ups'!$AI$7*MAX(IF(MSAUSC&gt;0,EUSC/100*(MSAUSC-RSAG),0),IF(CR138="Yes",ELSC/100*(MSASC-RSAG),0))</f>
        <v>0.14991219285713858</v>
      </c>
      <c r="DS138" s="280">
        <f>0.36*RSAM</f>
        <v>9.1614024000000001</v>
      </c>
      <c r="DT138" s="296">
        <f>_xlfn.IFS(SPC="MG",RAMG+DS138,SPC="MGScr",RAMG+RASCO,SPC="MGSp",RAMG+RASPO,SPC="MGScrSp",RAMG+RASPSC+RASCR)+RAUSC+RSAST+RSAD+RSAMZ+RSA2M</f>
        <v>50.713182492857136</v>
      </c>
      <c r="DU138" s="63"/>
    </row>
    <row r="139" spans="1:125" ht="15.6" customHeight="1" x14ac:dyDescent="0.3">
      <c r="A139" s="4"/>
      <c r="B139" s="64"/>
      <c r="C139" s="64" t="s">
        <v>541</v>
      </c>
      <c r="D139" s="85" t="s">
        <v>542</v>
      </c>
      <c r="E139" s="86" t="s">
        <v>543</v>
      </c>
      <c r="F139" s="252">
        <f ca="1">IF(RW=0,0,ROUND(DLF*0.93*RL^LF*RSA^0.4/RW^0.325,3))</f>
        <v>1.1220000000000001</v>
      </c>
      <c r="G139" s="252" t="str">
        <f ca="1">IF(OR(FLSCR="ERROR",FLSPI="ERROR"),"No",IF(TODAY()-'Look Ups'!$D$4*365&gt;I139,"WP Applied","Yes"))</f>
        <v>WP Applied</v>
      </c>
      <c r="H139" s="253" t="str">
        <f>IF(SPC="","",CONCATENATE("Main-Genoa",IF(FLSCR="valid",IF(OR(CR139="Yes",MSAUSC&gt;0),"-Screacher (Upwind)","-Screacher"),""),IF(FLSPI="valid","-Spinnaker",""),IF(RSAMZ&gt;0,"-Mizzen",""),IF(RSA2M&gt;0,"-Second Main",""),IF(AS&gt;0,"-Staysail",""),IF(AD&gt;0,"-Drifter","")))</f>
        <v>Main-Genoa-Spinnaker</v>
      </c>
      <c r="I139" s="1">
        <v>40504</v>
      </c>
      <c r="J139" s="1">
        <v>40504</v>
      </c>
      <c r="K139" s="87"/>
      <c r="L139" s="87"/>
      <c r="M139" s="207"/>
      <c r="N139" s="88" t="s">
        <v>165</v>
      </c>
      <c r="O139" s="88"/>
      <c r="P139" s="100"/>
      <c r="Q139" s="90">
        <v>9.26</v>
      </c>
      <c r="R139" s="87"/>
      <c r="S139" s="256">
        <f>IF((LOAA&gt;LOA),0.025*LOAA,0.025*LOA)</f>
        <v>0.23150000000000001</v>
      </c>
      <c r="T139" s="91">
        <v>0.01</v>
      </c>
      <c r="U139" s="91">
        <v>0</v>
      </c>
      <c r="V139" s="258">
        <f>IF((_xlfn.SINGLE(LOAA)&gt;_xlfn.SINGLE(LOA)),_xlfn.SINGLE(LOAA),_xlfn.SINGLE(LOA)-_xlfn.SINGLE(FOC)-_xlfn.SINGLE(AOC))</f>
        <v>9.25</v>
      </c>
      <c r="W139" s="259">
        <f>IF(RL&gt;0,IF(RL&gt;'Look Ups'!Y$7,'Look Ups'!Y$8,('Look Ups'!Y$3*RL^3+'Look Ups'!Y$4*RL^2+'Look Ups'!Y$5*RL+'Look Ups'!Y$6)),0)</f>
        <v>0.29720545312500002</v>
      </c>
      <c r="X139" s="92">
        <v>1100</v>
      </c>
      <c r="Y139" s="262">
        <f ca="1">IF(WDATE&lt;(TODAY()-'Look Ups'!$D$4*365),-WM*'Look Ups'!$D$5/100,0)</f>
        <v>-165</v>
      </c>
      <c r="Z139" s="93"/>
      <c r="AA139" s="93"/>
      <c r="AB139" s="75"/>
      <c r="AC139" s="265">
        <f>WCD+NC*'Look Ups'!$AF$3</f>
        <v>0</v>
      </c>
      <c r="AD139" s="265">
        <f ca="1">IF(RL&lt;'Look Ups'!AM$3,'Look Ups'!AM$4,IF(RL&gt;'Look Ups'!AM$5,'Look Ups'!AM$6,(RL-'Look Ups'!AM$3)/('Look Ups'!AM$5-'Look Ups'!AM$3)*('Look Ups'!AM$6-'Look Ups'!AM$4)+'Look Ups'!AM$4))/100*WS</f>
        <v>193.8</v>
      </c>
      <c r="AE139" s="266">
        <f ca="1">WM+WP+WE</f>
        <v>935</v>
      </c>
      <c r="AF139" s="267">
        <f ca="1">_xlfn.SINGLE(WS)+IF(_xlfn.SINGLE(TCW)&gt;=_xlfn.SINGLE(CWA),_xlfn.SINGLE(CWA),_xlfn.SINGLE(TCW))</f>
        <v>935</v>
      </c>
      <c r="AG139" s="94" t="s">
        <v>145</v>
      </c>
      <c r="AH139" s="95" t="s">
        <v>146</v>
      </c>
      <c r="AI139" s="96" t="s">
        <v>147</v>
      </c>
      <c r="AJ139" s="218"/>
      <c r="AK139" s="273">
        <f>IF(C139="",0,VLOOKUP(AG139,'Look Ups'!$F$3:$G$6,2,0)*VLOOKUP(AH139,'Look Ups'!$I$3:$J$5,2,0)*VLOOKUP(AI139,'Look Ups'!$L$3:$M$7,2,0)*IF(AJ139="",1,VLOOKUP(AJ139,'Look Ups'!$O$3:$P$4,2,0)))</f>
        <v>1</v>
      </c>
      <c r="AL139" s="83">
        <v>13.68</v>
      </c>
      <c r="AM139" s="91">
        <v>13.5</v>
      </c>
      <c r="AN139" s="91">
        <v>3.67</v>
      </c>
      <c r="AO139" s="91">
        <v>1.46</v>
      </c>
      <c r="AP139" s="91">
        <v>0.17</v>
      </c>
      <c r="AQ139" s="91">
        <v>13.9</v>
      </c>
      <c r="AR139" s="91">
        <v>0.11</v>
      </c>
      <c r="AS139" s="91">
        <v>3.69</v>
      </c>
      <c r="AT139" s="91">
        <v>3.5000000000000003E-2</v>
      </c>
      <c r="AU139" s="91">
        <v>0.85</v>
      </c>
      <c r="AV139" s="91" t="s">
        <v>148</v>
      </c>
      <c r="AW139" s="97">
        <v>0</v>
      </c>
      <c r="AX139" s="256">
        <f>P+ER</f>
        <v>13.935</v>
      </c>
      <c r="AY139" s="256">
        <f>P*0.375*MC</f>
        <v>4.430625</v>
      </c>
      <c r="AZ139" s="275">
        <f>IF(C139="",0,(0.5*(_ML1*LPM)+0.5*(_ML1*HB)+0.66*(P*PR)+0.66*(_ML2*RDM)+0.66*(E*ER))*VLOOKUP(BATT,'Look Ups'!$U$3:$V$4,2,0))</f>
        <v>37.698278999999999</v>
      </c>
      <c r="BA139" s="98"/>
      <c r="BB139" s="99"/>
      <c r="BC139" s="83">
        <v>10.36</v>
      </c>
      <c r="BD139" s="91">
        <v>3.17</v>
      </c>
      <c r="BE139" s="91">
        <v>3.36</v>
      </c>
      <c r="BF139" s="91">
        <v>0.03</v>
      </c>
      <c r="BG139" s="91">
        <v>9.59</v>
      </c>
      <c r="BH139" s="91">
        <v>9.51</v>
      </c>
      <c r="BI139" s="91">
        <v>0.52</v>
      </c>
      <c r="BJ139" s="91">
        <v>0.04</v>
      </c>
      <c r="BK139" s="91">
        <v>0.06</v>
      </c>
      <c r="BL139" s="97">
        <v>0</v>
      </c>
      <c r="BM139" s="275">
        <f>(0.5*LL*LPG)+(0.5*_LG1*HG)+(0.66*LL*LLRG)+(0.66*FG*FRG)+(IF((HG&gt;0),(0.66*_LG2*LRG),(0.66*_LG1*LRG)))</f>
        <v>19.641848000000003</v>
      </c>
      <c r="BN139" s="282"/>
      <c r="BO139" s="283"/>
      <c r="BP139" s="284"/>
      <c r="BQ139" s="284"/>
      <c r="BR139" s="283"/>
      <c r="BS139" s="284"/>
      <c r="BT139" s="284"/>
      <c r="BU139" s="280">
        <f>(0.5*LLS*LPS)+(0.66*LLS*LLRS)+(0.66*LS*LRS)+(0.66*FS*FRS)</f>
        <v>0</v>
      </c>
      <c r="BV139" s="285"/>
      <c r="BW139" s="283"/>
      <c r="BX139" s="283"/>
      <c r="BY139" s="283"/>
      <c r="BZ139" s="283"/>
      <c r="CA139" s="283"/>
      <c r="CB139" s="283"/>
      <c r="CC139" s="275">
        <f>(0.5*LLD*LPD)+(0.66*LLD*LLRD)+(0.66*LCHD*LRD)+(0.66*FD*FRD)</f>
        <v>0</v>
      </c>
      <c r="CD139" s="98">
        <v>7.65</v>
      </c>
      <c r="CE139" s="91">
        <v>16.18</v>
      </c>
      <c r="CF139" s="91">
        <v>14.47</v>
      </c>
      <c r="CG139" s="91">
        <v>5.77</v>
      </c>
      <c r="CH139" s="266">
        <f>IF(SF&gt;0,SMG/SF*100,"")</f>
        <v>75.424836601307177</v>
      </c>
      <c r="CI139" s="283"/>
      <c r="CJ139" s="280">
        <f>SF*(_SL1+_SL2)/4+(SMG-SF/2)*(_SL1+_SL2)/3</f>
        <v>78.489541666666653</v>
      </c>
      <c r="CK139" s="83"/>
      <c r="CL139" s="91"/>
      <c r="CM139" s="91"/>
      <c r="CN139" s="91"/>
      <c r="CO139" s="256" t="str">
        <f>IF(SCRF&gt;0,SCRMG/SCRF*100,"")</f>
        <v/>
      </c>
      <c r="CP139" s="283"/>
      <c r="CQ139" s="256">
        <f>SCRF*(SCRL1+SCRL2)/4+(SCRMG-SCRF/2)*(SCRL1+SCRL2)/3</f>
        <v>0</v>
      </c>
      <c r="CR139" s="256" t="str">
        <f>IF(CO139&lt;'Look Ups'!$AC$4,"Yes","No")</f>
        <v>No</v>
      </c>
      <c r="CS139" s="267">
        <f>IF(CR139="Yes",MIN(150,('Look Ups'!$AC$4-PSCR)/('Look Ups'!$AC$4-'Look Ups'!$AC$3)*100),0)</f>
        <v>0</v>
      </c>
      <c r="CT139" s="83"/>
      <c r="CU139" s="91"/>
      <c r="CV139" s="91"/>
      <c r="CW139" s="91"/>
      <c r="CX139" s="256" t="str">
        <f>IF(USCRF&gt;0,USCRMG/USCRF*100,"")</f>
        <v/>
      </c>
      <c r="CY139" s="293">
        <f>IF(PUSCR&lt;'Look Ups'!$AC$4,MIN(150,('Look Ups'!$AC$4-PUSCR)/('Look Ups'!$AC$4-'Look Ups'!$AC$3)*100),0)</f>
        <v>0</v>
      </c>
      <c r="CZ139" s="275">
        <f>IF(PUSCR&lt;'Look Ups'!$AC$4,USCRF*(USCRL1+USCRL2)/4+(USCRMG-USCRF/2)*(USCRL1+USCRL2)/3,0)</f>
        <v>0</v>
      </c>
      <c r="DA139" s="294">
        <f>IF(ZVAL=1,1,IF(LPM&gt;0,0.64*((AM+MAM)/(E+(MC/2))^2)^0.3,0))</f>
        <v>1</v>
      </c>
      <c r="DB139" s="256">
        <f>0.65*((AM+MAM)*EFM)+0.35*((AM+MAM)*ZVAL)</f>
        <v>42.128903999999999</v>
      </c>
      <c r="DC139" s="256">
        <f>IF(ZVAL=1,1,IF(LPG&gt;0,0.72*(AG/(LPG^2))^0.3,0))</f>
        <v>1</v>
      </c>
      <c r="DD139" s="256">
        <f>AG*EFG</f>
        <v>19.641848000000003</v>
      </c>
      <c r="DE139" s="256">
        <f>IF(AZ139&gt;0,'Look Ups'!$S$3,0)</f>
        <v>1</v>
      </c>
      <c r="DF139" s="256">
        <f>IF(LPS&gt;0,0.72*(AS/(LPS^2))^0.3,0)</f>
        <v>0</v>
      </c>
      <c r="DG139" s="256">
        <f>EFS*AS</f>
        <v>0</v>
      </c>
      <c r="DH139" s="256">
        <f>IF(LPD&gt;0,0.72*(AD/(LPD^2))^0.3,0)</f>
        <v>0</v>
      </c>
      <c r="DI139" s="280">
        <f>IF((AD-AG)&gt;0,0.3*(AD-AG)*EFD,0)</f>
        <v>0</v>
      </c>
      <c r="DJ139" s="295" t="str">
        <f>IF((SCRF=0),"-",IF(AND(MSASC&gt;AG,SCRMG&lt;(0.75*SCRF)),"valid","ERROR"))</f>
        <v>-</v>
      </c>
      <c r="DK139" s="266" t="str">
        <f>IF((SF=0),"-",IF((SMG&lt;(0.75*SF)),"ERROR",IF(AND(MSASP&gt;MSASC,MSASP&gt;AG,MSASP&gt;=0.36*RSAM),"valid","Small")))</f>
        <v>valid</v>
      </c>
      <c r="DL139" s="267" t="str">
        <f>IF(C139="","",CONCATENATE("MG",IF(FLSCR="valid","Scr",""),IF(FLSPI="valid","SP","")))</f>
        <v>MGSP</v>
      </c>
      <c r="DM139" s="294">
        <f>RSAM+RSAG</f>
        <v>61.770752000000002</v>
      </c>
      <c r="DN139" s="256">
        <f>IF(MSASP&gt;0,'Look Ups'!$AI$4*(ZVAL*MSASP-RSAG),0)</f>
        <v>17.654308099999994</v>
      </c>
      <c r="DO139" s="256">
        <f>IF(AND(MSASC&gt;0,(MSASC&gt;=0.36*RSAM)),('Look Ups'!$AI$3*(ZVAL*MSASC-RSAG)),(0))</f>
        <v>0</v>
      </c>
      <c r="DP139" s="256">
        <f>IF(MSASP&gt;0,'Look Ups'!$AI$5*(ZVAL*MSASP-RSAG),0)</f>
        <v>16.477354226666662</v>
      </c>
      <c r="DQ139" s="256">
        <f>IF(MSASC&gt;0,'Look Ups'!$AI$6*(MSASC-RSAG),0)</f>
        <v>0</v>
      </c>
      <c r="DR139" s="280">
        <f>'Look Ups'!$AI$7*MAX(IF(MSAUSC&gt;0,EUSC/100*(MSAUSC-RSAG),0),IF(CR139="Yes",ELSC/100*(MSASC-RSAG),0))</f>
        <v>0</v>
      </c>
      <c r="DS139" s="280">
        <f>0.36*RSAM</f>
        <v>15.166405439999998</v>
      </c>
      <c r="DT139" s="296">
        <f>_xlfn.IFS(SPC="MG",RAMG+DS139,SPC="MGScr",RAMG+RASCO,SPC="MGSp",RAMG+RASPO,SPC="MGScrSp",RAMG+RASPSC+RASCR)+RAUSC+RSAST+RSAD+RSAMZ+RSA2M</f>
        <v>79.425060099999996</v>
      </c>
      <c r="DU139" s="63"/>
    </row>
    <row r="140" spans="1:125" ht="15.6" customHeight="1" x14ac:dyDescent="0.3">
      <c r="A140" s="4"/>
      <c r="B140" s="64"/>
      <c r="C140" s="64" t="s">
        <v>1039</v>
      </c>
      <c r="D140" s="85" t="s">
        <v>528</v>
      </c>
      <c r="E140" s="86" t="s">
        <v>1040</v>
      </c>
      <c r="F140" s="252">
        <f ca="1">IF(RW=0,0,ROUND(DLF*0.93*RL^LF*RSA^0.4/RW^0.325,3))</f>
        <v>0.85899999999999999</v>
      </c>
      <c r="G140" s="252" t="str">
        <f ca="1">IF(OR(FLSCR="ERROR",FLSPI="ERROR"),"No",IF(TODAY()-'Look Ups'!$D$4*365&gt;I140,"WP Applied","Yes"))</f>
        <v>WP Applied</v>
      </c>
      <c r="H140" s="253" t="str">
        <f>IF(SPC="","",CONCATENATE("Main-Genoa",IF(FLSCR="valid",IF(OR(CR140="Yes",MSAUSC&gt;0),"-Screacher (Upwind)","-Screacher"),""),IF(FLSPI="valid","-Spinnaker",""),IF(RSAMZ&gt;0,"-Mizzen",""),IF(RSA2M&gt;0,"-Second Main",""),IF(AS&gt;0,"-Staysail",""),IF(AD&gt;0,"-Drifter","")))</f>
        <v>Main-Genoa-Screacher (Upwind)-Spinnaker</v>
      </c>
      <c r="I140" s="1">
        <v>42064</v>
      </c>
      <c r="J140" s="1">
        <v>42223</v>
      </c>
      <c r="K140" s="87" t="s">
        <v>918</v>
      </c>
      <c r="L140" s="87" t="s">
        <v>159</v>
      </c>
      <c r="M140" s="207"/>
      <c r="N140" s="88" t="s">
        <v>165</v>
      </c>
      <c r="O140" s="88"/>
      <c r="P140" s="89"/>
      <c r="Q140" s="90">
        <v>15.41</v>
      </c>
      <c r="R140" s="87"/>
      <c r="S140" s="256">
        <f>IF((LOAA&gt;LOA),0.025*LOAA,0.025*LOA)</f>
        <v>0.38525000000000004</v>
      </c>
      <c r="T140" s="117">
        <v>0.15</v>
      </c>
      <c r="U140" s="117">
        <v>0</v>
      </c>
      <c r="V140" s="258">
        <f>IF((_xlfn.SINGLE(LOAA)&gt;_xlfn.SINGLE(LOA)),_xlfn.SINGLE(LOAA),_xlfn.SINGLE(LOA)-_xlfn.SINGLE(FOC)-_xlfn.SINGLE(AOC))</f>
        <v>15.26</v>
      </c>
      <c r="W140" s="259">
        <f>IF(RL&gt;0,IF(RL&gt;'Look Ups'!Y$7,'Look Ups'!Y$8,('Look Ups'!Y$3*RL^3+'Look Ups'!Y$4*RL^2+'Look Ups'!Y$5*RL+'Look Ups'!Y$6)),0)</f>
        <v>0.3</v>
      </c>
      <c r="X140" s="92">
        <v>11569</v>
      </c>
      <c r="Y140" s="262">
        <f ca="1">IF(WDATE&lt;(TODAY()-'Look Ups'!$D$4*365),-WM*'Look Ups'!$D$5/100,0)</f>
        <v>-1735.35</v>
      </c>
      <c r="Z140" s="93"/>
      <c r="AA140" s="93"/>
      <c r="AB140" s="93"/>
      <c r="AC140" s="265">
        <f>WCD+NC*'Look Ups'!$AF$3</f>
        <v>0</v>
      </c>
      <c r="AD140" s="265">
        <f ca="1">IF(RL&lt;'Look Ups'!AM$3,'Look Ups'!AM$4,IF(RL&gt;'Look Ups'!AM$5,'Look Ups'!AM$6,(RL-'Look Ups'!AM$3)/('Look Ups'!AM$5-'Look Ups'!AM$3)*('Look Ups'!AM$6-'Look Ups'!AM$4)+'Look Ups'!AM$4))/100*WS</f>
        <v>983.36500000000001</v>
      </c>
      <c r="AE140" s="266">
        <f ca="1">WM+WP+WE</f>
        <v>9833.65</v>
      </c>
      <c r="AF140" s="267">
        <f ca="1">_xlfn.SINGLE(WS)+IF(_xlfn.SINGLE(TCW)&gt;=_xlfn.SINGLE(CWA),_xlfn.SINGLE(CWA),_xlfn.SINGLE(TCW))</f>
        <v>9833.65</v>
      </c>
      <c r="AG140" s="94" t="s">
        <v>145</v>
      </c>
      <c r="AH140" s="95" t="s">
        <v>146</v>
      </c>
      <c r="AI140" s="96" t="s">
        <v>177</v>
      </c>
      <c r="AJ140" s="218"/>
      <c r="AK140" s="273">
        <f>IF(C140="",0,VLOOKUP(AG140,'Look Ups'!$F$3:$G$6,2,0)*VLOOKUP(AH140,'Look Ups'!$I$3:$J$5,2,0)*VLOOKUP(AI140,'Look Ups'!$L$3:$M$7,2,0)*IF(AJ140="",1,VLOOKUP(AJ140,'Look Ups'!$O$3:$P$4,2,0)))</f>
        <v>0.99</v>
      </c>
      <c r="AL140" s="83">
        <v>19.28</v>
      </c>
      <c r="AM140" s="91">
        <v>19.28</v>
      </c>
      <c r="AN140" s="91">
        <v>6.05</v>
      </c>
      <c r="AO140" s="91">
        <v>0</v>
      </c>
      <c r="AP140" s="91">
        <v>2.2999999999999998</v>
      </c>
      <c r="AQ140" s="91">
        <v>18.53</v>
      </c>
      <c r="AR140" s="91">
        <v>0.25</v>
      </c>
      <c r="AS140" s="91">
        <v>6.33</v>
      </c>
      <c r="AT140" s="91">
        <v>0.14000000000000001</v>
      </c>
      <c r="AU140" s="91">
        <v>0</v>
      </c>
      <c r="AV140" s="91" t="s">
        <v>148</v>
      </c>
      <c r="AW140" s="97">
        <v>0</v>
      </c>
      <c r="AX140" s="256">
        <f>P+ER</f>
        <v>18.670000000000002</v>
      </c>
      <c r="AY140" s="256">
        <f>P*0.375*MC</f>
        <v>0</v>
      </c>
      <c r="AZ140" s="275">
        <f>IF(C140="",0,(0.5*(_ML1*LPM)+0.5*(_ML1*HB)+0.66*(P*PR)+0.66*(_ML2*RDM)+0.66*(E*ER))*VLOOKUP(BATT,'Look Ups'!$U$3:$V$4,2,0))</f>
        <v>91.231381999999996</v>
      </c>
      <c r="BA140" s="98"/>
      <c r="BB140" s="99"/>
      <c r="BC140" s="83">
        <v>18.11</v>
      </c>
      <c r="BD140" s="91">
        <v>4.9000000000000004</v>
      </c>
      <c r="BE140" s="91">
        <v>5.3</v>
      </c>
      <c r="BF140" s="91">
        <v>0.01</v>
      </c>
      <c r="BG140" s="91">
        <v>16.559999999999999</v>
      </c>
      <c r="BH140" s="91"/>
      <c r="BI140" s="91"/>
      <c r="BJ140" s="91">
        <v>0.09</v>
      </c>
      <c r="BK140" s="91">
        <v>0</v>
      </c>
      <c r="BL140" s="97">
        <v>0</v>
      </c>
      <c r="BM140" s="275">
        <f>(0.5*LL*LPG)+(0.5*_LG1*HG)+(0.66*LL*LLRG)+(0.66*FG*FRG)+(IF((HG&gt;0),(0.66*_LG2*LRG),(0.66*_LG1*LRG)))</f>
        <v>45.388143999999997</v>
      </c>
      <c r="BN140" s="319"/>
      <c r="BO140" s="320"/>
      <c r="BP140" s="321"/>
      <c r="BQ140" s="321"/>
      <c r="BR140" s="320"/>
      <c r="BS140" s="321"/>
      <c r="BT140" s="321"/>
      <c r="BU140" s="280">
        <f>(0.5*LLS*LPS)+(0.66*LLS*LLRS)+(0.66*LS*LRS)+(0.66*FS*FRS)</f>
        <v>0</v>
      </c>
      <c r="BV140" s="322"/>
      <c r="BW140" s="320"/>
      <c r="BX140" s="320"/>
      <c r="BY140" s="320"/>
      <c r="BZ140" s="320"/>
      <c r="CA140" s="320"/>
      <c r="CB140" s="320"/>
      <c r="CC140" s="275">
        <f>(0.5*LLD*LPD)+(0.66*LLD*LLRD)+(0.66*LCHD*LRD)+(0.66*FD*FRD)</f>
        <v>0</v>
      </c>
      <c r="CD140" s="98">
        <v>12.8</v>
      </c>
      <c r="CE140" s="91">
        <v>21.7</v>
      </c>
      <c r="CF140" s="91">
        <v>18.16</v>
      </c>
      <c r="CG140" s="91">
        <v>12.4</v>
      </c>
      <c r="CH140" s="266">
        <f>IF(SF&gt;0,SMG/SF*100,"")</f>
        <v>96.875</v>
      </c>
      <c r="CI140" s="320"/>
      <c r="CJ140" s="280">
        <f>SF*(_SL1+_SL2)/4+(SMG-SF/2)*(_SL1+_SL2)/3</f>
        <v>207.27199999999999</v>
      </c>
      <c r="CK140" s="83">
        <v>11.46</v>
      </c>
      <c r="CL140" s="91">
        <v>19.64</v>
      </c>
      <c r="CM140" s="91">
        <v>15.83</v>
      </c>
      <c r="CN140" s="91">
        <v>5.74</v>
      </c>
      <c r="CO140" s="256">
        <f>IF(SCRF&gt;0,SCRMG/SCRF*100,"")</f>
        <v>50.087260034904013</v>
      </c>
      <c r="CP140" s="320"/>
      <c r="CQ140" s="256">
        <f>SCRF*(SCRL1+SCRL2)/4+(SCRMG-SCRF/2)*(SCRL1+SCRL2)/3</f>
        <v>101.73978333333334</v>
      </c>
      <c r="CR140" s="256" t="str">
        <f>IF(CO140&lt;'Look Ups'!$AC$4,"Yes","No")</f>
        <v>Yes</v>
      </c>
      <c r="CS140" s="267">
        <f>IF(CR140="Yes",MIN(150,('Look Ups'!$AC$4-PSCR)/('Look Ups'!$AC$4-'Look Ups'!$AC$3)*100),0)</f>
        <v>38.254799301919746</v>
      </c>
      <c r="CT140" s="83"/>
      <c r="CU140" s="91"/>
      <c r="CV140" s="91"/>
      <c r="CW140" s="91"/>
      <c r="CX140" s="256" t="str">
        <f>IF(USCRF&gt;0,USCRMG/USCRF*100,"")</f>
        <v/>
      </c>
      <c r="CY140" s="293">
        <f>IF(PUSCR&lt;'Look Ups'!$AC$4,MIN(150,('Look Ups'!$AC$4-PUSCR)/('Look Ups'!$AC$4-'Look Ups'!$AC$3)*100),0)</f>
        <v>0</v>
      </c>
      <c r="CZ140" s="275">
        <f>IF(PUSCR&lt;'Look Ups'!$AC$4,USCRF*(USCRL1+USCRL2)/4+(USCRMG-USCRF/2)*(USCRL1+USCRL2)/3,0)</f>
        <v>0</v>
      </c>
      <c r="DA140" s="294">
        <f>IF(ZVAL=1,1,IF(LPM&gt;0,0.64*((AM+MAM)/(E+(MC/2))^2)^0.3,0))</f>
        <v>1</v>
      </c>
      <c r="DB140" s="256">
        <f>0.65*((AM+MAM)*EFM)+0.35*((AM+MAM)*ZVAL)</f>
        <v>91.231381999999996</v>
      </c>
      <c r="DC140" s="256">
        <f>IF(ZVAL=1,1,IF(LPG&gt;0,0.72*(AG/(LPG^2))^0.3,0))</f>
        <v>1</v>
      </c>
      <c r="DD140" s="256">
        <f>AG*EFG</f>
        <v>45.388143999999997</v>
      </c>
      <c r="DE140" s="256">
        <f>IF(AZ140&gt;0,'Look Ups'!$S$3,0)</f>
        <v>1</v>
      </c>
      <c r="DF140" s="256">
        <f>IF(LPS&gt;0,0.72*(AS/(LPS^2))^0.3,0)</f>
        <v>0</v>
      </c>
      <c r="DG140" s="256">
        <f>EFS*AS</f>
        <v>0</v>
      </c>
      <c r="DH140" s="256">
        <f>IF(LPD&gt;0,0.72*(AD/(LPD^2))^0.3,0)</f>
        <v>0</v>
      </c>
      <c r="DI140" s="280">
        <f>IF((AD-AG)&gt;0,0.3*(AD-AG)*EFD,0)</f>
        <v>0</v>
      </c>
      <c r="DJ140" s="295" t="str">
        <f>IF((SCRF=0),"-",IF(AND(MSASC&gt;AG,SCRMG&lt;(0.75*SCRF)),"valid","ERROR"))</f>
        <v>valid</v>
      </c>
      <c r="DK140" s="266" t="str">
        <f>IF((SF=0),"-",IF((SMG&lt;(0.75*SF)),"ERROR",IF(AND(MSASP&gt;MSASC,MSASP&gt;AG,MSASP&gt;=0.36*RSAM),"valid","Small")))</f>
        <v>valid</v>
      </c>
      <c r="DL140" s="267" t="str">
        <f>IF(C140="","",CONCATENATE("MG",IF(FLSCR="valid","Scr",""),IF(FLSPI="valid","SP","")))</f>
        <v>MGScrSP</v>
      </c>
      <c r="DM140" s="294">
        <f>RSAM+RSAG</f>
        <v>136.61952600000001</v>
      </c>
      <c r="DN140" s="256">
        <f>IF(MSASP&gt;0,'Look Ups'!$AI$4*(ZVAL*MSASP-RSAG),0)</f>
        <v>48.56515679999999</v>
      </c>
      <c r="DO140" s="256">
        <f>IF(AND(MSASC&gt;0,(MSASC&gt;=0.36*RSAM)),('Look Ups'!$AI$3*(ZVAL*MSASC-RSAG)),(0))</f>
        <v>19.723073766666666</v>
      </c>
      <c r="DP140" s="256">
        <f>IF(MSASP&gt;0,'Look Ups'!$AI$5*(ZVAL*MSASP-RSAG),0)</f>
        <v>45.327479679999996</v>
      </c>
      <c r="DQ140" s="256">
        <f>IF(MSASC&gt;0,'Look Ups'!$AI$6*(MSASC-RSAG),0)</f>
        <v>3.944614753333334</v>
      </c>
      <c r="DR140" s="280">
        <f>'Look Ups'!$AI$7*MAX(IF(MSAUSC&gt;0,EUSC/100*(MSAUSC-RSAG),0),IF(CR140="Yes",ELSC/100*(MSASC-RSAG),0))</f>
        <v>5.3893016325770837</v>
      </c>
      <c r="DS140" s="280">
        <f>0.36*RSAM</f>
        <v>32.84329752</v>
      </c>
      <c r="DT140" s="296">
        <f>_xlfn.IFS(SPC="MG",RAMG+DS140,SPC="MGScr",RAMG+RASCO,SPC="MGSp",RAMG+RASPO,SPC="MGScrSp",RAMG+RASPSC+RASCR)+RAUSC+RSAST+RSAD+RSAMZ+RSA2M</f>
        <v>191.28092206591043</v>
      </c>
      <c r="DU140" s="63"/>
    </row>
    <row r="141" spans="1:125" ht="15.6" customHeight="1" x14ac:dyDescent="0.3">
      <c r="A141" s="4"/>
      <c r="B141" s="64"/>
      <c r="C141" s="64" t="s">
        <v>544</v>
      </c>
      <c r="D141" s="85" t="s">
        <v>545</v>
      </c>
      <c r="E141" s="86" t="s">
        <v>546</v>
      </c>
      <c r="F141" s="252">
        <f ca="1">IF(RW=0,0,ROUND(DLF*0.93*RL^LF*RSA^0.4/RW^0.325,3))</f>
        <v>0.749</v>
      </c>
      <c r="G141" s="252" t="str">
        <f ca="1">IF(OR(FLSCR="ERROR",FLSPI="ERROR"),"No",IF(TODAY()-'Look Ups'!$D$4*365&gt;I141,"WP Applied","Yes"))</f>
        <v>WP Applied</v>
      </c>
      <c r="H141" s="253" t="str">
        <f>IF(SPC="","",CONCATENATE("Main-Genoa",IF(FLSCR="valid",IF(OR(CR141="Yes",MSAUSC&gt;0),"-Screacher (Upwind)","-Screacher"),""),IF(FLSPI="valid","-Spinnaker",""),IF(RSAMZ&gt;0,"-Mizzen",""),IF(RSA2M&gt;0,"-Second Main",""),IF(AS&gt;0,"-Staysail",""),IF(AD&gt;0,"-Drifter","")))</f>
        <v>Main-Genoa-Screacher-Spinnaker</v>
      </c>
      <c r="I141" s="1">
        <v>41659</v>
      </c>
      <c r="J141" s="1">
        <v>43140</v>
      </c>
      <c r="K141" s="87" t="s">
        <v>479</v>
      </c>
      <c r="L141" s="87" t="s">
        <v>142</v>
      </c>
      <c r="M141" s="207"/>
      <c r="N141" s="88" t="s">
        <v>165</v>
      </c>
      <c r="O141" s="88"/>
      <c r="P141" s="100"/>
      <c r="Q141" s="90">
        <v>13.002000000000001</v>
      </c>
      <c r="R141" s="87">
        <v>0</v>
      </c>
      <c r="S141" s="256">
        <f>IF((LOAA&gt;LOA),0.025*LOAA,0.025*LOA)</f>
        <v>0.32505000000000006</v>
      </c>
      <c r="T141" s="91">
        <v>0</v>
      </c>
      <c r="U141" s="91">
        <v>0.34</v>
      </c>
      <c r="V141" s="258">
        <f>IF((_xlfn.SINGLE(LOAA)&gt;_xlfn.SINGLE(LOA)),_xlfn.SINGLE(LOAA),_xlfn.SINGLE(LOA)-_xlfn.SINGLE(FOC)-_xlfn.SINGLE(AOC))</f>
        <v>12.662000000000001</v>
      </c>
      <c r="W141" s="259">
        <f>IF(RL&gt;0,IF(RL&gt;'Look Ups'!Y$7,'Look Ups'!Y$8,('Look Ups'!Y$3*RL^3+'Look Ups'!Y$4*RL^2+'Look Ups'!Y$5*RL+'Look Ups'!Y$6)),0)</f>
        <v>0.3</v>
      </c>
      <c r="X141" s="92">
        <f>10291-170.3</f>
        <v>10120.700000000001</v>
      </c>
      <c r="Y141" s="262">
        <f ca="1">IF(WDATE&lt;(TODAY()-'Look Ups'!$D$4*365),-WM*'Look Ups'!$D$5/100,0)</f>
        <v>-1518.105</v>
      </c>
      <c r="Z141" s="93"/>
      <c r="AA141" s="93"/>
      <c r="AB141" s="75"/>
      <c r="AC141" s="265">
        <f>WCD+NC*'Look Ups'!$AF$3</f>
        <v>0</v>
      </c>
      <c r="AD141" s="265">
        <f ca="1">IF(RL&lt;'Look Ups'!AM$3,'Look Ups'!AM$4,IF(RL&gt;'Look Ups'!AM$5,'Look Ups'!AM$6,(RL-'Look Ups'!AM$3)/('Look Ups'!AM$5-'Look Ups'!AM$3)*('Look Ups'!AM$6-'Look Ups'!AM$4)+'Look Ups'!AM$4))/100*WS</f>
        <v>860.25950000000012</v>
      </c>
      <c r="AE141" s="266">
        <f ca="1">WM+WP+WE</f>
        <v>8602.5950000000012</v>
      </c>
      <c r="AF141" s="267">
        <f ca="1">_xlfn.SINGLE(WS)+IF(_xlfn.SINGLE(TCW)&gt;=_xlfn.SINGLE(CWA),_xlfn.SINGLE(CWA),_xlfn.SINGLE(TCW))</f>
        <v>8602.5950000000012</v>
      </c>
      <c r="AG141" s="94" t="s">
        <v>145</v>
      </c>
      <c r="AH141" s="95" t="s">
        <v>146</v>
      </c>
      <c r="AI141" s="124" t="s">
        <v>177</v>
      </c>
      <c r="AJ141" s="219"/>
      <c r="AK141" s="273">
        <f>IF(C141="",0,VLOOKUP(AG141,'Look Ups'!$F$3:$G$6,2,0)*VLOOKUP(AH141,'Look Ups'!$I$3:$J$5,2,0)*VLOOKUP(AI141,'Look Ups'!$L$3:$M$7,2,0)*IF(AJ141="",1,VLOOKUP(AJ141,'Look Ups'!$O$3:$P$4,2,0)))</f>
        <v>0.99</v>
      </c>
      <c r="AL141" s="83">
        <v>15.62</v>
      </c>
      <c r="AM141" s="91">
        <v>15.62</v>
      </c>
      <c r="AN141" s="91">
        <v>5.6</v>
      </c>
      <c r="AO141" s="91">
        <v>0.22</v>
      </c>
      <c r="AP141" s="91">
        <v>1.55</v>
      </c>
      <c r="AQ141" s="91">
        <v>15.87</v>
      </c>
      <c r="AR141" s="91">
        <v>0.1</v>
      </c>
      <c r="AS141" s="91">
        <v>5.67</v>
      </c>
      <c r="AT141" s="91">
        <v>0</v>
      </c>
      <c r="AU141" s="91"/>
      <c r="AV141" s="91" t="s">
        <v>148</v>
      </c>
      <c r="AW141" s="97"/>
      <c r="AX141" s="257">
        <f>P+ER</f>
        <v>15.87</v>
      </c>
      <c r="AY141" s="256">
        <f>P*0.375*MC</f>
        <v>0</v>
      </c>
      <c r="AZ141" s="275">
        <f>IF(C141="",0,(0.5*(_ML1*LPM)+0.5*(_ML1*HB)+0.66*(P*PR)+0.66*(_ML2*RDM)+0.66*(E*ER))*VLOOKUP(BATT,'Look Ups'!$U$3:$V$4,2,0))</f>
        <v>62.480879999999999</v>
      </c>
      <c r="BA141" s="98"/>
      <c r="BB141" s="99"/>
      <c r="BC141" s="83">
        <v>13.8</v>
      </c>
      <c r="BD141" s="91">
        <v>6.45</v>
      </c>
      <c r="BE141" s="91">
        <v>7.05</v>
      </c>
      <c r="BF141" s="91">
        <v>0.28000000000000003</v>
      </c>
      <c r="BG141" s="91">
        <v>12.4</v>
      </c>
      <c r="BH141" s="91"/>
      <c r="BI141" s="91">
        <v>0.06</v>
      </c>
      <c r="BJ141" s="91">
        <v>-0.34499999999999997</v>
      </c>
      <c r="BK141" s="91">
        <v>0.25</v>
      </c>
      <c r="BL141" s="97"/>
      <c r="BM141" s="275">
        <f>(0.5*LL*LPG)+(0.5*_LG1*HG)+(0.66*LL*LLRG)+(0.66*FG*FRG)+(IF((HG&gt;0),(0.66*_LG2*LRG),(0.66*_LG1*LRG)))</f>
        <v>48.456840000000007</v>
      </c>
      <c r="BN141" s="282"/>
      <c r="BO141" s="283"/>
      <c r="BP141" s="284"/>
      <c r="BQ141" s="284"/>
      <c r="BR141" s="283"/>
      <c r="BS141" s="284"/>
      <c r="BT141" s="284"/>
      <c r="BU141" s="280">
        <f>(0.5*LLS*LPS)+(0.66*LLS*LLRS)+(0.66*LS*LRS)+(0.66*FS*FRS)</f>
        <v>0</v>
      </c>
      <c r="BV141" s="285"/>
      <c r="BW141" s="283"/>
      <c r="BX141" s="283"/>
      <c r="BY141" s="283"/>
      <c r="BZ141" s="283"/>
      <c r="CA141" s="283"/>
      <c r="CB141" s="283"/>
      <c r="CC141" s="275">
        <f>(0.5*LLD*LPD)+(0.66*LLD*LLRD)+(0.66*LCHD*LRD)+(0.66*FD*FRD)</f>
        <v>0</v>
      </c>
      <c r="CD141" s="98">
        <v>9.85</v>
      </c>
      <c r="CE141" s="91">
        <v>18.36</v>
      </c>
      <c r="CF141" s="91">
        <v>16.05</v>
      </c>
      <c r="CG141" s="91">
        <v>10.29</v>
      </c>
      <c r="CH141" s="266">
        <f>IF(SF&gt;0,SMG/SF*100,"")</f>
        <v>104.46700507614213</v>
      </c>
      <c r="CI141" s="283"/>
      <c r="CJ141" s="280">
        <f>SF*(_SL1+_SL2)/4+(SMG-SF/2)*(_SL1+_SL2)/3</f>
        <v>146.27117499999997</v>
      </c>
      <c r="CK141" s="83">
        <v>8.67</v>
      </c>
      <c r="CL141" s="91">
        <v>16.23</v>
      </c>
      <c r="CM141" s="91">
        <v>14.82</v>
      </c>
      <c r="CN141" s="91">
        <v>4.54</v>
      </c>
      <c r="CO141" s="256">
        <f>IF(SCRF&gt;0,SCRMG/SCRF*100,"")</f>
        <v>52.364475201845437</v>
      </c>
      <c r="CP141" s="283"/>
      <c r="CQ141" s="256">
        <f>SCRF*(SCRL1+SCRL2)/4+(SCRMG-SCRF/2)*(SCRL1+SCRL2)/3</f>
        <v>69.422625000000011</v>
      </c>
      <c r="CR141" s="256" t="str">
        <f>IF(CO141&lt;'Look Ups'!$AC$4,"Yes","No")</f>
        <v>No</v>
      </c>
      <c r="CS141" s="267">
        <f>IF(CR141="Yes",MIN(150,('Look Ups'!$AC$4-PSCR)/('Look Ups'!$AC$4-'Look Ups'!$AC$3)*100),0)</f>
        <v>0</v>
      </c>
      <c r="CT141" s="83"/>
      <c r="CU141" s="91"/>
      <c r="CV141" s="91"/>
      <c r="CW141" s="91"/>
      <c r="CX141" s="256" t="str">
        <f>IF(USCRF&gt;0,USCRMG/USCRF*100,"")</f>
        <v/>
      </c>
      <c r="CY141" s="293">
        <f>IF(PUSCR&lt;'Look Ups'!$AC$4,MIN(150,('Look Ups'!$AC$4-PUSCR)/('Look Ups'!$AC$4-'Look Ups'!$AC$3)*100),0)</f>
        <v>0</v>
      </c>
      <c r="CZ141" s="275">
        <f>IF(PUSCR&lt;'Look Ups'!$AC$4,USCRF*(USCRL1+USCRL2)/4+(USCRMG-USCRF/2)*(USCRL1+USCRL2)/3,0)</f>
        <v>0</v>
      </c>
      <c r="DA141" s="294">
        <f>IF(ZVAL=1,1,IF(LPM&gt;0,0.64*((AM+MAM)/(E+(MC/2))^2)^0.3,0))</f>
        <v>1</v>
      </c>
      <c r="DB141" s="256">
        <f>0.65*((AM+MAM)*EFM)+0.35*((AM+MAM)*ZVAL)</f>
        <v>62.480879999999999</v>
      </c>
      <c r="DC141" s="256">
        <f>IF(ZVAL=1,1,IF(LPG&gt;0,0.72*(AG/(LPG^2))^0.3,0))</f>
        <v>1</v>
      </c>
      <c r="DD141" s="256">
        <f>AG*EFG</f>
        <v>48.456840000000007</v>
      </c>
      <c r="DE141" s="256">
        <f>IF(AZ141&gt;0,'Look Ups'!$S$3,0)</f>
        <v>1</v>
      </c>
      <c r="DF141" s="257">
        <f>IF(LPS&gt;0,0.72*(AS/(LPS^2))^0.3,0)</f>
        <v>0</v>
      </c>
      <c r="DG141" s="257">
        <f>EFS*AS</f>
        <v>0</v>
      </c>
      <c r="DH141" s="257">
        <f>IF(LPD&gt;0,0.72*(AD/(LPD^2))^0.3,0)</f>
        <v>0</v>
      </c>
      <c r="DI141" s="290">
        <f>IF((AD-AG)&gt;0,0.3*(AD-AG)*EFD,0)</f>
        <v>0</v>
      </c>
      <c r="DJ141" s="295" t="str">
        <f>IF((SCRF=0),"-",IF(AND(MSASC&gt;AG,SCRMG&lt;(0.75*SCRF)),"valid","ERROR"))</f>
        <v>valid</v>
      </c>
      <c r="DK141" s="266" t="str">
        <f>IF((SF=0),"-",IF((SMG&lt;(0.75*SF)),"ERROR",IF(AND(MSASP&gt;MSASC,MSASP&gt;AG,MSASP&gt;=0.36*RSAM),"valid","Small")))</f>
        <v>valid</v>
      </c>
      <c r="DL141" s="267" t="str">
        <f>IF(C141="","",CONCATENATE("MG",IF(FLSCR="valid","Scr",""),IF(FLSPI="valid","SP","")))</f>
        <v>MGScrSP</v>
      </c>
      <c r="DM141" s="294">
        <f>RSAM+RSAG</f>
        <v>110.93772000000001</v>
      </c>
      <c r="DN141" s="256">
        <f>IF(MSASP&gt;0,'Look Ups'!$AI$4*(ZVAL*MSASP-RSAG),0)</f>
        <v>29.344300499999989</v>
      </c>
      <c r="DO141" s="256">
        <f>IF(AND(MSASC&gt;0,(MSASC&gt;=0.36*RSAM)),('Look Ups'!$AI$3*(ZVAL*MSASC-RSAG)),(0))</f>
        <v>7.3380247500000007</v>
      </c>
      <c r="DP141" s="256">
        <f>IF(MSASP&gt;0,'Look Ups'!$AI$5*(ZVAL*MSASP-RSAG),0)</f>
        <v>27.388013799999996</v>
      </c>
      <c r="DQ141" s="256">
        <f>IF(MSASC&gt;0,'Look Ups'!$AI$6*(MSASC-RSAG),0)</f>
        <v>1.4676049500000004</v>
      </c>
      <c r="DR141" s="280">
        <f>'Look Ups'!$AI$7*MAX(IF(MSAUSC&gt;0,EUSC/100*(MSAUSC-RSAG),0),IF(CR141="Yes",ELSC/100*(MSASC-RSAG),0))</f>
        <v>0</v>
      </c>
      <c r="DS141" s="280">
        <f>0.36*RSAM</f>
        <v>22.493116799999999</v>
      </c>
      <c r="DT141" s="296">
        <f>_xlfn.IFS(SPC="MG",RAMG+DS141,SPC="MGScr",RAMG+RASCO,SPC="MGSp",RAMG+RASPO,SPC="MGScrSp",RAMG+RASPSC+RASCR)+RAUSC+RSAST+RSAD+RSAMZ+RSA2M</f>
        <v>139.79333875000003</v>
      </c>
      <c r="DU141" s="63"/>
    </row>
    <row r="142" spans="1:125" ht="15.6" customHeight="1" x14ac:dyDescent="0.3">
      <c r="A142" s="110"/>
      <c r="B142" s="64"/>
      <c r="C142" s="64" t="s">
        <v>1041</v>
      </c>
      <c r="D142" s="85" t="s">
        <v>161</v>
      </c>
      <c r="E142" s="86" t="s">
        <v>1144</v>
      </c>
      <c r="F142" s="252">
        <f ca="1">IF(RW=0,0,ROUND(DLF*0.93*RL^LF*RSA^0.4/RW^0.325,3))</f>
        <v>1.232</v>
      </c>
      <c r="G142" s="252" t="str">
        <f ca="1">IF(OR(FLSCR="ERROR",FLSPI="ERROR"),"No",IF(TODAY()-'Look Ups'!$D$4*365&gt;I142,"WP Applied","Yes"))</f>
        <v>Yes</v>
      </c>
      <c r="H142" s="253" t="str">
        <f>IF(SPC="","",CONCATENATE("Main-Genoa",IF(FLSCR="valid",IF(OR(CR142="Yes",MSAUSC&gt;0),"-Screacher (Upwind)","-Screacher"),""),IF(FLSPI="valid","-Spinnaker",""),IF(RSAMZ&gt;0,"-Mizzen",""),IF(RSA2M&gt;0,"-Second Main",""),IF(AS&gt;0,"-Staysail",""),IF(AD&gt;0,"-Drifter","")))</f>
        <v>Main-Genoa-Screacher</v>
      </c>
      <c r="I142" s="1">
        <v>43541</v>
      </c>
      <c r="J142" s="1">
        <v>45150</v>
      </c>
      <c r="K142" s="87" t="s">
        <v>163</v>
      </c>
      <c r="L142" s="87" t="s">
        <v>176</v>
      </c>
      <c r="M142" s="207"/>
      <c r="N142" s="88" t="s">
        <v>165</v>
      </c>
      <c r="O142" s="88" t="s">
        <v>144</v>
      </c>
      <c r="P142" s="100"/>
      <c r="Q142" s="90">
        <v>11.9</v>
      </c>
      <c r="R142" s="87"/>
      <c r="S142" s="256">
        <f>IF((LOAA&gt;LOA),0.025*LOAA,0.025*LOA)</f>
        <v>0.29750000000000004</v>
      </c>
      <c r="T142" s="91"/>
      <c r="U142" s="91">
        <v>0</v>
      </c>
      <c r="V142" s="258">
        <f>IF((_xlfn.SINGLE(LOAA)&gt;_xlfn.SINGLE(LOA)),_xlfn.SINGLE(LOAA),_xlfn.SINGLE(LOA)-_xlfn.SINGLE(FOC)-_xlfn.SINGLE(AOC))</f>
        <v>11.9</v>
      </c>
      <c r="W142" s="259">
        <f>IF(RL&gt;0,IF(RL&gt;'Look Ups'!Y$7,'Look Ups'!Y$8,('Look Ups'!Y$3*RL^3+'Look Ups'!Y$4*RL^2+'Look Ups'!Y$5*RL+'Look Ups'!Y$6)),0)</f>
        <v>0.29990624700000001</v>
      </c>
      <c r="X142" s="92">
        <v>1573</v>
      </c>
      <c r="Y142" s="262">
        <f ca="1">IF(WDATE&lt;(TODAY()-'Look Ups'!$D$4*365),-WM*'Look Ups'!$D$5/100,0)</f>
        <v>0</v>
      </c>
      <c r="Z142" s="93"/>
      <c r="AA142" s="93"/>
      <c r="AB142" s="75"/>
      <c r="AC142" s="265">
        <f>WCD+NC*'Look Ups'!$AF$3</f>
        <v>0</v>
      </c>
      <c r="AD142" s="265">
        <f ca="1">IF(RL&lt;'Look Ups'!AM$3,'Look Ups'!AM$4,IF(RL&gt;'Look Ups'!AM$5,'Look Ups'!AM$6,(RL-'Look Ups'!AM$3)/('Look Ups'!AM$5-'Look Ups'!AM$3)*('Look Ups'!AM$6-'Look Ups'!AM$4)+'Look Ups'!AM$4))/100*WS</f>
        <v>174.45999999999992</v>
      </c>
      <c r="AE142" s="266">
        <f ca="1">WM+WP+WE</f>
        <v>1573</v>
      </c>
      <c r="AF142" s="267">
        <f ca="1">_xlfn.SINGLE(WS)+IF(_xlfn.SINGLE(TCW)&gt;=_xlfn.SINGLE(CWA),_xlfn.SINGLE(CWA),_xlfn.SINGLE(TCW))</f>
        <v>1573</v>
      </c>
      <c r="AG142" s="94" t="s">
        <v>145</v>
      </c>
      <c r="AH142" s="95" t="s">
        <v>146</v>
      </c>
      <c r="AI142" s="96" t="s">
        <v>147</v>
      </c>
      <c r="AJ142" s="218"/>
      <c r="AK142" s="273">
        <f>IF(C142="",0,VLOOKUP(AG142,'Look Ups'!$F$3:$G$6,2,0)*VLOOKUP(AH142,'Look Ups'!$I$3:$J$5,2,0)*VLOOKUP(AI142,'Look Ups'!$L$3:$M$7,2,0)*IF(AJ142="",1,VLOOKUP(AJ142,'Look Ups'!$O$3:$P$4,2,0)))</f>
        <v>1</v>
      </c>
      <c r="AL142" s="83">
        <v>17.670000000000002</v>
      </c>
      <c r="AM142" s="91">
        <v>17.420000000000002</v>
      </c>
      <c r="AN142" s="91">
        <v>4.95</v>
      </c>
      <c r="AO142" s="91">
        <v>2.0699999999999998</v>
      </c>
      <c r="AP142" s="91">
        <v>0.25</v>
      </c>
      <c r="AQ142" s="91">
        <v>17.64</v>
      </c>
      <c r="AR142" s="91">
        <v>0.26</v>
      </c>
      <c r="AS142" s="91">
        <v>5</v>
      </c>
      <c r="AT142" s="91">
        <v>0.02</v>
      </c>
      <c r="AU142" s="91">
        <v>0.77</v>
      </c>
      <c r="AV142" s="91" t="s">
        <v>148</v>
      </c>
      <c r="AW142" s="97"/>
      <c r="AX142" s="256">
        <f>P+ER</f>
        <v>17.66</v>
      </c>
      <c r="AY142" s="256">
        <f>P*0.375*MC</f>
        <v>5.0935500000000005</v>
      </c>
      <c r="AZ142" s="275">
        <f>IF(C142="",0,(0.5*(_ML1*LPM)+0.5*(_ML1*HB)+0.66*(P*PR)+0.66*(_ML2*RDM)+0.66*(E*ER))*VLOOKUP(BATT,'Look Ups'!$U$3:$V$4,2,0))</f>
        <v>67.989024000000015</v>
      </c>
      <c r="BA142" s="98"/>
      <c r="BB142" s="99"/>
      <c r="BC142" s="83">
        <v>13.2</v>
      </c>
      <c r="BD142" s="91">
        <v>3.29</v>
      </c>
      <c r="BE142" s="91">
        <v>3.43</v>
      </c>
      <c r="BF142" s="91">
        <v>0.15</v>
      </c>
      <c r="BG142" s="91">
        <v>12.66</v>
      </c>
      <c r="BH142" s="91">
        <v>12.68</v>
      </c>
      <c r="BI142" s="91">
        <v>0.4</v>
      </c>
      <c r="BJ142" s="91">
        <v>-0.14000000000000001</v>
      </c>
      <c r="BK142" s="91">
        <v>0</v>
      </c>
      <c r="BL142" s="97">
        <v>0</v>
      </c>
      <c r="BM142" s="275">
        <f>(0.5*LL*LPG)+(0.5*_LG1*HG)+(0.66*LL*LLRG)+(0.66*FG*FRG)+(IF((HG&gt;0),(0.66*_LG2*LRG),(0.66*_LG1*LRG)))</f>
        <v>23.413937999999998</v>
      </c>
      <c r="BN142" s="282"/>
      <c r="BO142" s="283"/>
      <c r="BP142" s="284"/>
      <c r="BQ142" s="284"/>
      <c r="BR142" s="283"/>
      <c r="BS142" s="284"/>
      <c r="BT142" s="284"/>
      <c r="BU142" s="280">
        <f>(0.5*LLS*LPS)+(0.66*LLS*LLRS)+(0.66*LS*LRS)+(0.66*FS*FRS)</f>
        <v>0</v>
      </c>
      <c r="BV142" s="285"/>
      <c r="BW142" s="283"/>
      <c r="BX142" s="283"/>
      <c r="BY142" s="283"/>
      <c r="BZ142" s="283"/>
      <c r="CA142" s="283"/>
      <c r="CB142" s="283"/>
      <c r="CC142" s="275">
        <f>(0.5*LLD*LPD)+(0.66*LLD*LLRD)+(0.66*LCHD*LRD)+(0.66*FD*FRD)</f>
        <v>0</v>
      </c>
      <c r="CD142" s="98"/>
      <c r="CE142" s="91"/>
      <c r="CF142" s="91"/>
      <c r="CG142" s="91"/>
      <c r="CH142" s="266" t="str">
        <f>IF(SF&gt;0,SMG/SF*100,"")</f>
        <v/>
      </c>
      <c r="CI142" s="283"/>
      <c r="CJ142" s="280">
        <f>SF*(_SL1+_SL2)/4+(SMG-SF/2)*(_SL1+_SL2)/3</f>
        <v>0</v>
      </c>
      <c r="CK142" s="83">
        <v>10.86</v>
      </c>
      <c r="CL142" s="91">
        <v>18.04</v>
      </c>
      <c r="CM142" s="91">
        <v>15.48</v>
      </c>
      <c r="CN142" s="91">
        <v>6.6</v>
      </c>
      <c r="CO142" s="256">
        <f>IF(SCRF&gt;0,SCRMG/SCRF*100,"")</f>
        <v>60.773480662983424</v>
      </c>
      <c r="CP142" s="283"/>
      <c r="CQ142" s="256">
        <f>SCRF*(SCRL1+SCRL2)/4+(SCRMG-SCRF/2)*(SCRL1+SCRL2)/3</f>
        <v>104.07959999999999</v>
      </c>
      <c r="CR142" s="256" t="str">
        <f>IF(CO142&lt;'Look Ups'!$AC$4,"Yes","No")</f>
        <v>No</v>
      </c>
      <c r="CS142" s="267">
        <f>IF(CR142="Yes",MIN(150,('Look Ups'!$AC$4-PSCR)/('Look Ups'!$AC$4-'Look Ups'!$AC$3)*100),0)</f>
        <v>0</v>
      </c>
      <c r="CT142" s="83"/>
      <c r="CU142" s="91"/>
      <c r="CV142" s="91"/>
      <c r="CW142" s="91"/>
      <c r="CX142" s="256" t="str">
        <f>IF(USCRF&gt;0,USCRMG/USCRF*100,"")</f>
        <v/>
      </c>
      <c r="CY142" s="293">
        <f>IF(PUSCR&lt;'Look Ups'!$AC$4,MIN(150,('Look Ups'!$AC$4-PUSCR)/('Look Ups'!$AC$4-'Look Ups'!$AC$3)*100),0)</f>
        <v>0</v>
      </c>
      <c r="CZ142" s="275">
        <f>IF(PUSCR&lt;'Look Ups'!$AC$4,USCRF*(USCRL1+USCRL2)/4+(USCRMG-USCRF/2)*(USCRL1+USCRL2)/3,0)</f>
        <v>0</v>
      </c>
      <c r="DA142" s="294">
        <f>IF(ZVAL=1,1,IF(LPM&gt;0,0.64*((AM+MAM)/(E+(MC/2))^2)^0.3,0))</f>
        <v>1</v>
      </c>
      <c r="DB142" s="256">
        <f>0.65*((AM+MAM)*EFM)+0.35*((AM+MAM)*ZVAL)</f>
        <v>73.082574000000022</v>
      </c>
      <c r="DC142" s="256">
        <f>IF(ZVAL=1,1,IF(LPG&gt;0,0.72*(AG/(LPG^2))^0.3,0))</f>
        <v>1</v>
      </c>
      <c r="DD142" s="256">
        <f>AG*EFG</f>
        <v>23.413937999999998</v>
      </c>
      <c r="DE142" s="256">
        <f>IF(AZ142&gt;0,'Look Ups'!$S$3,0)</f>
        <v>1</v>
      </c>
      <c r="DF142" s="256">
        <f>IF(LPS&gt;0,0.72*(AS/(LPS^2))^0.3,0)</f>
        <v>0</v>
      </c>
      <c r="DG142" s="256">
        <f>EFS*AS</f>
        <v>0</v>
      </c>
      <c r="DH142" s="256">
        <f>IF(LPD&gt;0,0.72*(AD/(LPD^2))^0.3,0)</f>
        <v>0</v>
      </c>
      <c r="DI142" s="280">
        <f>IF((AD-AG)&gt;0,0.3*(AD-AG)*EFD,0)</f>
        <v>0</v>
      </c>
      <c r="DJ142" s="295" t="str">
        <f>IF((SCRF=0),"-",IF(AND(MSASC&gt;AG,SCRMG&lt;(0.75*SCRF)),"valid","ERROR"))</f>
        <v>valid</v>
      </c>
      <c r="DK142" s="266" t="str">
        <f>IF((SF=0),"-",IF((SMG&lt;(0.75*SF)),"ERROR",IF(AND(MSASP&gt;MSASC,MSASP&gt;AG,MSASP&gt;=0.36*RSAM),"valid","Small")))</f>
        <v>-</v>
      </c>
      <c r="DL142" s="267" t="str">
        <f>IF(C142="","",CONCATENATE("MG",IF(FLSCR="valid","Scr",""),IF(FLSPI="valid","SP","")))</f>
        <v>MGScr</v>
      </c>
      <c r="DM142" s="294">
        <f>RSAM+RSAG</f>
        <v>96.496512000000024</v>
      </c>
      <c r="DN142" s="256">
        <f>IF(MSASP&gt;0,'Look Ups'!$AI$4*(ZVAL*MSASP-RSAG),0)</f>
        <v>0</v>
      </c>
      <c r="DO142" s="256">
        <f>IF(AND(MSASC&gt;0,(MSASC&gt;=0.36*RSAM)),('Look Ups'!$AI$3*(ZVAL*MSASC-RSAG)),(0))</f>
        <v>28.232981699999993</v>
      </c>
      <c r="DP142" s="256">
        <f>IF(MSASP&gt;0,'Look Ups'!$AI$5*(ZVAL*MSASP-RSAG),0)</f>
        <v>0</v>
      </c>
      <c r="DQ142" s="256">
        <f>IF(MSASC&gt;0,'Look Ups'!$AI$6*(MSASC-RSAG),0)</f>
        <v>5.6465963399999994</v>
      </c>
      <c r="DR142" s="280">
        <f>'Look Ups'!$AI$7*MAX(IF(MSAUSC&gt;0,EUSC/100*(MSAUSC-RSAG),0),IF(CR142="Yes",ELSC/100*(MSASC-RSAG),0))</f>
        <v>0</v>
      </c>
      <c r="DS142" s="280">
        <f>0.36*RSAM</f>
        <v>26.309726640000008</v>
      </c>
      <c r="DT142" s="296">
        <f>_xlfn.IFS(SPC="MG",RAMG+DS142,SPC="MGScr",RAMG+RASCO,SPC="MGSp",RAMG+RASPO,SPC="MGScrSp",RAMG+RASPSC+RASCR)+RAUSC+RSAST+RSAD+RSAMZ+RSA2M</f>
        <v>124.72949370000002</v>
      </c>
      <c r="DU142" s="63"/>
    </row>
    <row r="143" spans="1:125" ht="15.6" customHeight="1" x14ac:dyDescent="0.3">
      <c r="A143" s="4"/>
      <c r="B143" s="64"/>
      <c r="C143" s="64" t="s">
        <v>547</v>
      </c>
      <c r="D143" s="85" t="s">
        <v>548</v>
      </c>
      <c r="E143" s="86" t="s">
        <v>549</v>
      </c>
      <c r="F143" s="252">
        <f ca="1">IF(RW=0,0,ROUND(DLF*0.93*RL^LF*RSA^0.4/RW^0.325,3))</f>
        <v>0.88900000000000001</v>
      </c>
      <c r="G143" s="252" t="str">
        <f ca="1">IF(OR(FLSCR="ERROR",FLSPI="ERROR"),"No",IF(TODAY()-'Look Ups'!$D$4*365&gt;I143,"WP Applied","Yes"))</f>
        <v>Yes</v>
      </c>
      <c r="H143" s="253" t="str">
        <f>IF(SPC="","",CONCATENATE("Main-Genoa",IF(FLSCR="valid",IF(OR(CR143="Yes",MSAUSC&gt;0),"-Screacher (Upwind)","-Screacher"),""),IF(FLSPI="valid","-Spinnaker",""),IF(RSAMZ&gt;0,"-Mizzen",""),IF(RSA2M&gt;0,"-Second Main",""),IF(AS&gt;0,"-Staysail",""),IF(AD&gt;0,"-Drifter","")))</f>
        <v>Main-Genoa-Spinnaker</v>
      </c>
      <c r="I143" s="1">
        <v>44648</v>
      </c>
      <c r="J143" s="1">
        <v>45744</v>
      </c>
      <c r="K143" s="87" t="s">
        <v>164</v>
      </c>
      <c r="L143" s="87" t="s">
        <v>176</v>
      </c>
      <c r="M143" s="207"/>
      <c r="N143" s="88" t="s">
        <v>165</v>
      </c>
      <c r="O143" s="88" t="s">
        <v>550</v>
      </c>
      <c r="P143" s="100">
        <v>6.7</v>
      </c>
      <c r="Q143" s="90">
        <v>13.19</v>
      </c>
      <c r="R143" s="87"/>
      <c r="S143" s="256">
        <f>IF((LOAA&gt;LOA),0.025*LOAA,0.025*LOA)</f>
        <v>0.32974999999999999</v>
      </c>
      <c r="T143" s="91">
        <v>0</v>
      </c>
      <c r="U143" s="91"/>
      <c r="V143" s="258">
        <f>IF((_xlfn.SINGLE(LOAA)&gt;_xlfn.SINGLE(LOA)),_xlfn.SINGLE(LOAA),_xlfn.SINGLE(LOA)-_xlfn.SINGLE(FOC)-_xlfn.SINGLE(AOC))</f>
        <v>13.19</v>
      </c>
      <c r="W143" s="259">
        <f>IF(RL&gt;0,IF(RL&gt;'Look Ups'!Y$7,'Look Ups'!Y$8,('Look Ups'!Y$3*RL^3+'Look Ups'!Y$4*RL^2+'Look Ups'!Y$5*RL+'Look Ups'!Y$6)),0)</f>
        <v>0.3</v>
      </c>
      <c r="X143" s="92">
        <v>4497</v>
      </c>
      <c r="Y143" s="262">
        <f ca="1">IF(WDATE&lt;(TODAY()-'Look Ups'!$D$4*365),-WM*'Look Ups'!$D$5/100,0)</f>
        <v>0</v>
      </c>
      <c r="Z143" s="93"/>
      <c r="AA143" s="93"/>
      <c r="AB143" s="75"/>
      <c r="AC143" s="265">
        <f>WCD+NC*'Look Ups'!$AF$3</f>
        <v>0</v>
      </c>
      <c r="AD143" s="265">
        <f ca="1">IF(RL&lt;'Look Ups'!AM$3,'Look Ups'!AM$4,IF(RL&gt;'Look Ups'!AM$5,'Look Ups'!AM$6,(RL-'Look Ups'!AM$3)/('Look Ups'!AM$5-'Look Ups'!AM$3)*('Look Ups'!AM$6-'Look Ups'!AM$4)+'Look Ups'!AM$4))/100*WS</f>
        <v>449.70000000000005</v>
      </c>
      <c r="AE143" s="266">
        <f ca="1">WM+WP+WE</f>
        <v>4497</v>
      </c>
      <c r="AF143" s="267">
        <f ca="1">_xlfn.SINGLE(WS)+IF(_xlfn.SINGLE(TCW)&gt;=_xlfn.SINGLE(CWA),_xlfn.SINGLE(CWA),_xlfn.SINGLE(TCW))</f>
        <v>4497</v>
      </c>
      <c r="AG143" s="94" t="s">
        <v>145</v>
      </c>
      <c r="AH143" s="95" t="s">
        <v>146</v>
      </c>
      <c r="AI143" s="96" t="s">
        <v>147</v>
      </c>
      <c r="AJ143" s="218"/>
      <c r="AK143" s="273">
        <f>IF(C143="",0,VLOOKUP(AG143,'Look Ups'!$F$3:$G$6,2,0)*VLOOKUP(AH143,'Look Ups'!$I$3:$J$5,2,0)*VLOOKUP(AI143,'Look Ups'!$L$3:$M$7,2,0)*IF(AJ143="",1,VLOOKUP(AJ143,'Look Ups'!$O$3:$P$4,2,0)))</f>
        <v>1</v>
      </c>
      <c r="AL143" s="83">
        <v>15.94</v>
      </c>
      <c r="AM143" s="91">
        <v>15.65</v>
      </c>
      <c r="AN143" s="91">
        <v>4.8899999999999997</v>
      </c>
      <c r="AO143" s="91">
        <v>1.675</v>
      </c>
      <c r="AP143" s="91">
        <v>0.44</v>
      </c>
      <c r="AQ143" s="91">
        <v>15.75</v>
      </c>
      <c r="AR143" s="91">
        <v>0.1</v>
      </c>
      <c r="AS143" s="91">
        <v>5.03</v>
      </c>
      <c r="AT143" s="91">
        <v>0</v>
      </c>
      <c r="AU143" s="91">
        <v>0.63</v>
      </c>
      <c r="AV143" s="91" t="s">
        <v>148</v>
      </c>
      <c r="AW143" s="97" t="s">
        <v>551</v>
      </c>
      <c r="AX143" s="256">
        <f>P+ER</f>
        <v>15.75</v>
      </c>
      <c r="AY143" s="256">
        <f>P*0.375*MC</f>
        <v>3.7209375000000002</v>
      </c>
      <c r="AZ143" s="275">
        <f>IF(C143="",0,(0.5*(_ML1*LPM)+0.5*(_ML1*HB)+0.66*(P*PR)+0.66*(_ML2*RDM)+0.66*(E*ER))*VLOOKUP(BATT,'Look Ups'!$U$3:$V$4,2,0))</f>
        <v>57.907309999999995</v>
      </c>
      <c r="BA143" s="98"/>
      <c r="BB143" s="99"/>
      <c r="BC143" s="83">
        <v>15.115</v>
      </c>
      <c r="BD143" s="91">
        <v>4.37</v>
      </c>
      <c r="BE143" s="91">
        <v>4.7119999999999997</v>
      </c>
      <c r="BF143" s="91">
        <v>0.157</v>
      </c>
      <c r="BG143" s="91">
        <v>13.96</v>
      </c>
      <c r="BH143" s="91">
        <v>13.96</v>
      </c>
      <c r="BI143" s="91">
        <v>0.06</v>
      </c>
      <c r="BJ143" s="91">
        <v>-0.28299999999999997</v>
      </c>
      <c r="BK143" s="91">
        <v>6.5000000000000002E-2</v>
      </c>
      <c r="BL143" s="97"/>
      <c r="BM143" s="275">
        <f>(0.5*LL*LPG)+(0.5*_LG1*HG)+(0.66*LL*LLRG)+(0.66*FG*FRG)+(IF((HG&gt;0),(0.66*_LG2*LRG),(0.66*_LG1*LRG)))</f>
        <v>31.974317139999997</v>
      </c>
      <c r="BN143" s="282"/>
      <c r="BO143" s="283"/>
      <c r="BP143" s="284"/>
      <c r="BQ143" s="284"/>
      <c r="BR143" s="283"/>
      <c r="BS143" s="284"/>
      <c r="BT143" s="284"/>
      <c r="BU143" s="280">
        <f>(0.5*LLS*LPS)+(0.66*LLS*LLRS)+(0.66*LS*LRS)+(0.66*FS*FRS)</f>
        <v>0</v>
      </c>
      <c r="BV143" s="285"/>
      <c r="BW143" s="283"/>
      <c r="BX143" s="283"/>
      <c r="BY143" s="283"/>
      <c r="BZ143" s="283"/>
      <c r="CA143" s="283"/>
      <c r="CB143" s="283"/>
      <c r="CC143" s="275">
        <f>(0.5*LLD*LPD)+(0.66*LLD*LLRD)+(0.66*LCHD*LRD)+(0.66*FD*FRD)</f>
        <v>0</v>
      </c>
      <c r="CD143" s="98">
        <v>9.83</v>
      </c>
      <c r="CE143" s="91">
        <v>15.39</v>
      </c>
      <c r="CF143" s="91">
        <v>17.649999999999999</v>
      </c>
      <c r="CG143" s="91">
        <v>8.4</v>
      </c>
      <c r="CH143" s="266">
        <f>IF(SF&gt;0,SMG/SF*100,"")</f>
        <v>85.452695829094623</v>
      </c>
      <c r="CI143" s="283"/>
      <c r="CJ143" s="280">
        <f>SF*(_SL1+_SL2)/4+(SMG-SF/2)*(_SL1+_SL2)/3</f>
        <v>119.57726666666667</v>
      </c>
      <c r="CK143" s="83"/>
      <c r="CL143" s="91"/>
      <c r="CM143" s="91"/>
      <c r="CN143" s="91"/>
      <c r="CO143" s="256" t="str">
        <f>IF(SCRF&gt;0,SCRMG/SCRF*100,"")</f>
        <v/>
      </c>
      <c r="CP143" s="283"/>
      <c r="CQ143" s="256">
        <f>SCRF*(SCRL1+SCRL2)/4+(SCRMG-SCRF/2)*(SCRL1+SCRL2)/3</f>
        <v>0</v>
      </c>
      <c r="CR143" s="256" t="str">
        <f>IF(CO143&lt;'Look Ups'!$AC$4,"Yes","No")</f>
        <v>No</v>
      </c>
      <c r="CS143" s="267">
        <f>IF(CR143="Yes",MIN(150,('Look Ups'!$AC$4-PSCR)/('Look Ups'!$AC$4-'Look Ups'!$AC$3)*100),0)</f>
        <v>0</v>
      </c>
      <c r="CT143" s="83"/>
      <c r="CU143" s="91"/>
      <c r="CV143" s="91"/>
      <c r="CW143" s="91"/>
      <c r="CX143" s="256" t="str">
        <f>IF(USCRF&gt;0,USCRMG/USCRF*100,"")</f>
        <v/>
      </c>
      <c r="CY143" s="293">
        <f>IF(PUSCR&lt;'Look Ups'!$AC$4,MIN(150,('Look Ups'!$AC$4-PUSCR)/('Look Ups'!$AC$4-'Look Ups'!$AC$3)*100),0)</f>
        <v>0</v>
      </c>
      <c r="CZ143" s="275">
        <f>IF(PUSCR&lt;'Look Ups'!$AC$4,USCRF*(USCRL1+USCRL2)/4+(USCRMG-USCRF/2)*(USCRL1+USCRL2)/3,0)</f>
        <v>0</v>
      </c>
      <c r="DA143" s="294">
        <f>IF(ZVAL=1,1,IF(LPM&gt;0,0.64*((AM+MAM)/(E+(MC/2))^2)^0.3,0))</f>
        <v>1</v>
      </c>
      <c r="DB143" s="256">
        <f>0.65*((AM+MAM)*EFM)+0.35*((AM+MAM)*ZVAL)</f>
        <v>61.628247499999993</v>
      </c>
      <c r="DC143" s="256">
        <f>IF(ZVAL=1,1,IF(LPG&gt;0,0.72*(AG/(LPG^2))^0.3,0))</f>
        <v>1</v>
      </c>
      <c r="DD143" s="256">
        <f>AG*EFG</f>
        <v>31.974317139999997</v>
      </c>
      <c r="DE143" s="256">
        <f>IF(AZ143&gt;0,'Look Ups'!$S$3,0)</f>
        <v>1</v>
      </c>
      <c r="DF143" s="257">
        <f>IF(LPS&gt;0,0.72*(AS/(LPS^2))^0.3,0)</f>
        <v>0</v>
      </c>
      <c r="DG143" s="257">
        <f>EFS*AS</f>
        <v>0</v>
      </c>
      <c r="DH143" s="257">
        <f>IF(LPD&gt;0,0.72*(AD/(LPD^2))^0.3,0)</f>
        <v>0</v>
      </c>
      <c r="DI143" s="290">
        <f>IF((AD-AG)&gt;0,0.3*(AD-AG)*EFD,0)</f>
        <v>0</v>
      </c>
      <c r="DJ143" s="295" t="str">
        <f>IF((SCRF=0),"-",IF(AND(MSASC&gt;AG,SCRMG&lt;(0.75*SCRF)),"valid","ERROR"))</f>
        <v>-</v>
      </c>
      <c r="DK143" s="266" t="str">
        <f>IF((SF=0),"-",IF((SMG&lt;(0.75*SF)),"ERROR",IF(AND(MSASP&gt;MSASC,MSASP&gt;AG,MSASP&gt;=0.36*RSAM),"valid","Small")))</f>
        <v>valid</v>
      </c>
      <c r="DL143" s="267" t="str">
        <f>IF(C143="","",CONCATENATE("MG",IF(FLSCR="valid","Scr",""),IF(FLSPI="valid","SP","")))</f>
        <v>MGSP</v>
      </c>
      <c r="DM143" s="294">
        <f>RSAM+RSAG</f>
        <v>93.602564639999997</v>
      </c>
      <c r="DN143" s="256">
        <f>IF(MSASP&gt;0,'Look Ups'!$AI$4*(ZVAL*MSASP-RSAG),0)</f>
        <v>26.280884858000004</v>
      </c>
      <c r="DO143" s="256">
        <f>IF(AND(MSASC&gt;0,(MSASC&gt;=0.36*RSAM)),('Look Ups'!$AI$3*(ZVAL*MSASC-RSAG)),(0))</f>
        <v>0</v>
      </c>
      <c r="DP143" s="256">
        <f>IF(MSASP&gt;0,'Look Ups'!$AI$5*(ZVAL*MSASP-RSAG),0)</f>
        <v>24.528825867466672</v>
      </c>
      <c r="DQ143" s="256">
        <f>IF(MSASC&gt;0,'Look Ups'!$AI$6*(MSASC-RSAG),0)</f>
        <v>0</v>
      </c>
      <c r="DR143" s="280">
        <f>'Look Ups'!$AI$7*MAX(IF(MSAUSC&gt;0,EUSC/100*(MSAUSC-RSAG),0),IF(CR143="Yes",ELSC/100*(MSASC-RSAG),0))</f>
        <v>0</v>
      </c>
      <c r="DS143" s="280">
        <f>0.36*RSAM</f>
        <v>22.186169099999997</v>
      </c>
      <c r="DT143" s="296">
        <f>_xlfn.IFS(SPC="MG",RAMG+DS143,SPC="MGScr",RAMG+RASCO,SPC="MGSp",RAMG+RASPO,SPC="MGScrSp",RAMG+RASPSC+RASCR)+RAUSC+RSAST+RSAD+RSAMZ+RSA2M</f>
        <v>119.883449498</v>
      </c>
      <c r="DU143" s="63"/>
    </row>
    <row r="144" spans="1:125" ht="15.6" customHeight="1" x14ac:dyDescent="0.3">
      <c r="A144" s="4"/>
      <c r="B144" s="64"/>
      <c r="C144" s="64" t="s">
        <v>552</v>
      </c>
      <c r="D144" s="85" t="s">
        <v>553</v>
      </c>
      <c r="E144" s="86" t="s">
        <v>554</v>
      </c>
      <c r="F144" s="252">
        <f ca="1">IF(RW=0,0,ROUND(DLF*0.93*RL^LF*RSA^0.4/RW^0.325,3))</f>
        <v>1.0620000000000001</v>
      </c>
      <c r="G144" s="252" t="str">
        <f ca="1">IF(OR(FLSCR="ERROR",FLSPI="ERROR"),"No",IF(TODAY()-'Look Ups'!$D$4*365&gt;I144,"WP Applied","Yes"))</f>
        <v>Yes</v>
      </c>
      <c r="H144" s="253" t="str">
        <f>IF(SPC="","",CONCATENATE("Main-Genoa",IF(FLSCR="valid",IF(OR(CR144="Yes",MSAUSC&gt;0),"-Screacher (Upwind)","-Screacher"),""),IF(FLSPI="valid","-Spinnaker",""),IF(RSAMZ&gt;0,"-Mizzen",""),IF(RSA2M&gt;0,"-Second Main",""),IF(AS&gt;0,"-Staysail",""),IF(AD&gt;0,"-Drifter","")))</f>
        <v>Main-Genoa-Screacher-Spinnaker</v>
      </c>
      <c r="I144" s="1">
        <v>43869</v>
      </c>
      <c r="J144" s="1">
        <v>44951</v>
      </c>
      <c r="K144" s="87" t="s">
        <v>222</v>
      </c>
      <c r="L144" s="87" t="s">
        <v>176</v>
      </c>
      <c r="M144" s="207"/>
      <c r="N144" s="88" t="s">
        <v>143</v>
      </c>
      <c r="O144" s="88" t="s">
        <v>189</v>
      </c>
      <c r="P144" s="100"/>
      <c r="Q144" s="90">
        <v>12.85</v>
      </c>
      <c r="R144" s="87"/>
      <c r="S144" s="256">
        <f>IF((LOAA&gt;LOA),0.025*LOAA,0.025*LOA)</f>
        <v>0.32125000000000004</v>
      </c>
      <c r="T144" s="91"/>
      <c r="U144" s="91"/>
      <c r="V144" s="258">
        <f>IF((_xlfn.SINGLE(LOAA)&gt;_xlfn.SINGLE(LOA)),_xlfn.SINGLE(LOAA),_xlfn.SINGLE(LOA)-_xlfn.SINGLE(FOC)-_xlfn.SINGLE(AOC))</f>
        <v>12.85</v>
      </c>
      <c r="W144" s="259">
        <f>IF(RL&gt;0,IF(RL&gt;'Look Ups'!Y$7,'Look Ups'!Y$8,('Look Ups'!Y$3*RL^3+'Look Ups'!Y$4*RL^2+'Look Ups'!Y$5*RL+'Look Ups'!Y$6)),0)</f>
        <v>0.3</v>
      </c>
      <c r="X144" s="92">
        <v>3775</v>
      </c>
      <c r="Y144" s="262">
        <f ca="1">IF(WDATE&lt;(TODAY()-'Look Ups'!$D$4*365),-WM*'Look Ups'!$D$5/100,0)</f>
        <v>0</v>
      </c>
      <c r="Z144" s="93"/>
      <c r="AA144" s="93"/>
      <c r="AB144" s="75"/>
      <c r="AC144" s="265">
        <f>WCD+NC*'Look Ups'!$AF$3</f>
        <v>0</v>
      </c>
      <c r="AD144" s="265">
        <f ca="1">IF(RL&lt;'Look Ups'!AM$3,'Look Ups'!AM$4,IF(RL&gt;'Look Ups'!AM$5,'Look Ups'!AM$6,(RL-'Look Ups'!AM$3)/('Look Ups'!AM$5-'Look Ups'!AM$3)*('Look Ups'!AM$6-'Look Ups'!AM$4)+'Look Ups'!AM$4))/100*WS</f>
        <v>377.5</v>
      </c>
      <c r="AE144" s="266">
        <f ca="1">WM+WP+WE</f>
        <v>3775</v>
      </c>
      <c r="AF144" s="267">
        <f ca="1">_xlfn.SINGLE(WS)+IF(_xlfn.SINGLE(TCW)&gt;=_xlfn.SINGLE(CWA),_xlfn.SINGLE(CWA),_xlfn.SINGLE(TCW))</f>
        <v>3775</v>
      </c>
      <c r="AG144" s="94" t="s">
        <v>145</v>
      </c>
      <c r="AH144" s="95" t="s">
        <v>146</v>
      </c>
      <c r="AI144" s="96" t="s">
        <v>147</v>
      </c>
      <c r="AJ144" s="218"/>
      <c r="AK144" s="273">
        <f>IF(C144="",0,VLOOKUP(AG144,'Look Ups'!$F$3:$G$6,2,0)*VLOOKUP(AH144,'Look Ups'!$I$3:$J$5,2,0)*VLOOKUP(AI144,'Look Ups'!$L$3:$M$7,2,0)*IF(AJ144="",1,VLOOKUP(AJ144,'Look Ups'!$O$3:$P$4,2,0)))</f>
        <v>1</v>
      </c>
      <c r="AL144" s="83">
        <v>18.53</v>
      </c>
      <c r="AM144" s="91">
        <v>18.440000000000001</v>
      </c>
      <c r="AN144" s="91">
        <v>4.99</v>
      </c>
      <c r="AO144" s="91">
        <v>1.9750000000000001</v>
      </c>
      <c r="AP144" s="91">
        <v>0.23</v>
      </c>
      <c r="AQ144" s="91">
        <v>18.329999999999998</v>
      </c>
      <c r="AR144" s="91">
        <v>0.19500000000000001</v>
      </c>
      <c r="AS144" s="91">
        <v>5.07</v>
      </c>
      <c r="AT144" s="91">
        <v>0</v>
      </c>
      <c r="AU144" s="91">
        <v>0.89</v>
      </c>
      <c r="AV144" s="91" t="s">
        <v>148</v>
      </c>
      <c r="AW144" s="97" t="s">
        <v>555</v>
      </c>
      <c r="AX144" s="256">
        <f>P+ER</f>
        <v>18.329999999999998</v>
      </c>
      <c r="AY144" s="256">
        <f>P*0.375*MC</f>
        <v>6.1176374999999998</v>
      </c>
      <c r="AZ144" s="275">
        <f>IF(C144="",0,(0.5*(_ML1*LPM)+0.5*(_ML1*HB)+0.66*(P*PR)+0.66*(_ML2*RDM)+0.66*(E*ER))*VLOOKUP(BATT,'Look Ups'!$U$3:$V$4,2,0))</f>
        <v>69.688988000000009</v>
      </c>
      <c r="BA144" s="98"/>
      <c r="BB144" s="99"/>
      <c r="BC144" s="83">
        <v>16.66</v>
      </c>
      <c r="BD144" s="91">
        <v>5.38</v>
      </c>
      <c r="BE144" s="91">
        <v>5.72</v>
      </c>
      <c r="BF144" s="91">
        <v>0.12</v>
      </c>
      <c r="BG144" s="91">
        <v>15.4</v>
      </c>
      <c r="BH144" s="91"/>
      <c r="BI144" s="91"/>
      <c r="BJ144" s="91">
        <v>-0.3</v>
      </c>
      <c r="BK144" s="91">
        <v>0.15</v>
      </c>
      <c r="BL144" s="97" t="s">
        <v>556</v>
      </c>
      <c r="BM144" s="275">
        <f>(0.5*LL*LPG)+(0.5*_LG1*HG)+(0.66*LL*LLRG)+(0.66*FG*FRG)+(IF((HG&gt;0),(0.66*_LG2*LRG),(0.66*_LG1*LRG)))</f>
        <v>43.868563999999999</v>
      </c>
      <c r="BN144" s="282"/>
      <c r="BO144" s="283"/>
      <c r="BP144" s="284"/>
      <c r="BQ144" s="284"/>
      <c r="BR144" s="283"/>
      <c r="BS144" s="284"/>
      <c r="BT144" s="284"/>
      <c r="BU144" s="280">
        <f>(0.5*LLS*LPS)+(0.66*LLS*LLRS)+(0.66*LS*LRS)+(0.66*FS*FRS)</f>
        <v>0</v>
      </c>
      <c r="BV144" s="285"/>
      <c r="BW144" s="283"/>
      <c r="BX144" s="283"/>
      <c r="BY144" s="283"/>
      <c r="BZ144" s="283"/>
      <c r="CA144" s="283"/>
      <c r="CB144" s="283"/>
      <c r="CC144" s="275">
        <f>(0.5*LLD*LPD)+(0.66*LLD*LLRD)+(0.66*LCHD*LRD)+(0.66*FD*FRD)</f>
        <v>0</v>
      </c>
      <c r="CD144" s="98">
        <v>12.16</v>
      </c>
      <c r="CE144" s="91">
        <v>21.23</v>
      </c>
      <c r="CF144" s="91">
        <v>19.420000000000002</v>
      </c>
      <c r="CG144" s="91">
        <v>11.68</v>
      </c>
      <c r="CH144" s="266">
        <f>IF(SF&gt;0,SMG/SF*100,"")</f>
        <v>96.05263157894737</v>
      </c>
      <c r="CI144" s="283"/>
      <c r="CJ144" s="280">
        <f>SF*(_SL1+_SL2)/4+(SMG-SF/2)*(_SL1+_SL2)/3</f>
        <v>199.45600000000002</v>
      </c>
      <c r="CK144" s="83">
        <v>8.35</v>
      </c>
      <c r="CL144" s="91">
        <v>17.95</v>
      </c>
      <c r="CM144" s="91">
        <v>15.65</v>
      </c>
      <c r="CN144" s="91">
        <v>4.43</v>
      </c>
      <c r="CO144" s="256">
        <f>IF(SCRF&gt;0,SCRMG/SCRF*100,"")</f>
        <v>53.053892215568865</v>
      </c>
      <c r="CP144" s="283"/>
      <c r="CQ144" s="256">
        <f>SCRF*(SCRL1+SCRL2)/4+(SCRMG-SCRF/2)*(SCRL1+SCRL2)/3</f>
        <v>72.995999999999995</v>
      </c>
      <c r="CR144" s="256" t="str">
        <f>IF(CO144&lt;'Look Ups'!$AC$4,"Yes","No")</f>
        <v>No</v>
      </c>
      <c r="CS144" s="267">
        <f>IF(CR144="Yes",MIN(150,('Look Ups'!$AC$4-PSCR)/('Look Ups'!$AC$4-'Look Ups'!$AC$3)*100),0)</f>
        <v>0</v>
      </c>
      <c r="CT144" s="83"/>
      <c r="CU144" s="91"/>
      <c r="CV144" s="91"/>
      <c r="CW144" s="91"/>
      <c r="CX144" s="256" t="str">
        <f>IF(USCRF&gt;0,USCRMG/USCRF*100,"")</f>
        <v/>
      </c>
      <c r="CY144" s="293">
        <f>IF(PUSCR&lt;'Look Ups'!$AC$4,MIN(150,('Look Ups'!$AC$4-PUSCR)/('Look Ups'!$AC$4-'Look Ups'!$AC$3)*100),0)</f>
        <v>0</v>
      </c>
      <c r="CZ144" s="275">
        <f>IF(PUSCR&lt;'Look Ups'!$AC$4,USCRF*(USCRL1+USCRL2)/4+(USCRMG-USCRF/2)*(USCRL1+USCRL2)/3,0)</f>
        <v>0</v>
      </c>
      <c r="DA144" s="294">
        <f>IF(ZVAL=1,1,IF(LPM&gt;0,0.64*((AM+MAM)/(E+(MC/2))^2)^0.3,0))</f>
        <v>1</v>
      </c>
      <c r="DB144" s="256">
        <f>0.65*((AM+MAM)*EFM)+0.35*((AM+MAM)*ZVAL)</f>
        <v>75.80662550000001</v>
      </c>
      <c r="DC144" s="256">
        <f>IF(ZVAL=1,1,IF(LPG&gt;0,0.72*(AG/(LPG^2))^0.3,0))</f>
        <v>1</v>
      </c>
      <c r="DD144" s="256">
        <f>AG*EFG</f>
        <v>43.868563999999999</v>
      </c>
      <c r="DE144" s="256">
        <f>IF(AZ144&gt;0,'Look Ups'!$S$3,0)</f>
        <v>1</v>
      </c>
      <c r="DF144" s="257">
        <f>IF(LPS&gt;0,0.72*(AS/(LPS^2))^0.3,0)</f>
        <v>0</v>
      </c>
      <c r="DG144" s="257">
        <f>EFS*AS</f>
        <v>0</v>
      </c>
      <c r="DH144" s="257">
        <f>IF(LPD&gt;0,0.72*(AD/(LPD^2))^0.3,0)</f>
        <v>0</v>
      </c>
      <c r="DI144" s="290">
        <f>IF((AD-AG)&gt;0,0.3*(AD-AG)*EFD,0)</f>
        <v>0</v>
      </c>
      <c r="DJ144" s="295" t="str">
        <f>IF((SCRF=0),"-",IF(AND(MSASC&gt;AG,SCRMG&lt;(0.75*SCRF)),"valid","ERROR"))</f>
        <v>valid</v>
      </c>
      <c r="DK144" s="266" t="str">
        <f>IF((SF=0),"-",IF((SMG&lt;(0.75*SF)),"ERROR",IF(AND(MSASP&gt;MSASC,MSASP&gt;AG,MSASP&gt;=0.36*RSAM),"valid","Small")))</f>
        <v>valid</v>
      </c>
      <c r="DL144" s="267" t="str">
        <f>IF(C144="","",CONCATENATE("MG",IF(FLSCR="valid","Scr",""),IF(FLSPI="valid","SP","")))</f>
        <v>MGScrSP</v>
      </c>
      <c r="DM144" s="294">
        <f>RSAM+RSAG</f>
        <v>119.67518950000002</v>
      </c>
      <c r="DN144" s="256">
        <f>IF(MSASP&gt;0,'Look Ups'!$AI$4*(ZVAL*MSASP-RSAG),0)</f>
        <v>46.676230800000006</v>
      </c>
      <c r="DO144" s="256">
        <f>IF(AND(MSASC&gt;0,(MSASC&gt;=0.36*RSAM)),('Look Ups'!$AI$3*(ZVAL*MSASC-RSAG)),(0))</f>
        <v>10.194602599999998</v>
      </c>
      <c r="DP144" s="256">
        <f>IF(MSASP&gt;0,'Look Ups'!$AI$5*(ZVAL*MSASP-RSAG),0)</f>
        <v>43.564482080000012</v>
      </c>
      <c r="DQ144" s="256">
        <f>IF(MSASC&gt;0,'Look Ups'!$AI$6*(MSASC-RSAG),0)</f>
        <v>2.03892052</v>
      </c>
      <c r="DR144" s="280">
        <f>'Look Ups'!$AI$7*MAX(IF(MSAUSC&gt;0,EUSC/100*(MSAUSC-RSAG),0),IF(CR144="Yes",ELSC/100*(MSASC-RSAG),0))</f>
        <v>0</v>
      </c>
      <c r="DS144" s="280">
        <f>0.36*RSAM</f>
        <v>27.290385180000001</v>
      </c>
      <c r="DT144" s="296">
        <f>_xlfn.IFS(SPC="MG",RAMG+DS144,SPC="MGScr",RAMG+RASCO,SPC="MGSp",RAMG+RASPO,SPC="MGScrSp",RAMG+RASPSC+RASCR)+RAUSC+RSAST+RSAD+RSAMZ+RSA2M</f>
        <v>165.27859210000003</v>
      </c>
      <c r="DU144" s="63"/>
    </row>
    <row r="145" spans="1:125" ht="15.6" customHeight="1" x14ac:dyDescent="0.3">
      <c r="A145" s="4"/>
      <c r="B145" s="64"/>
      <c r="C145" s="64" t="s">
        <v>1181</v>
      </c>
      <c r="D145" s="85" t="s">
        <v>413</v>
      </c>
      <c r="E145" s="86" t="s">
        <v>1182</v>
      </c>
      <c r="F145" s="252">
        <f ca="1">IF(RW=0,0,ROUND(DLF*0.93*RL^LF*RSA^0.4/RW^0.325,3))</f>
        <v>0.83399999999999996</v>
      </c>
      <c r="G145" s="252" t="str">
        <f ca="1">IF(OR(FLSCR="ERROR",FLSPI="ERROR"),"No",IF(TODAY()-'Look Ups'!$D$4*365&gt;I145,"WP Applied","Yes"))</f>
        <v>WP Applied</v>
      </c>
      <c r="H145" s="253" t="str">
        <f>IF(SPC="","",CONCATENATE("Main-Genoa",IF(FLSCR="valid",IF(OR(CR145="Yes",MSAUSC&gt;0),"-Screacher (Upwind)","-Screacher"),""),IF(FLSPI="valid","-Spinnaker",""),IF(RSAMZ&gt;0,"-Mizzen",""),IF(RSA2M&gt;0,"-Second Main",""),IF(AS&gt;0,"-Staysail",""),IF(AD&gt;0,"-Drifter","")))</f>
        <v>Main-Genoa-Screacher (Upwind)-Spinnaker</v>
      </c>
      <c r="I145" s="1">
        <v>41551</v>
      </c>
      <c r="J145" s="1">
        <v>42672</v>
      </c>
      <c r="K145" s="87" t="s">
        <v>365</v>
      </c>
      <c r="L145" s="87" t="s">
        <v>142</v>
      </c>
      <c r="M145" s="207"/>
      <c r="N145" s="97" t="s">
        <v>143</v>
      </c>
      <c r="O145" s="97" t="s">
        <v>154</v>
      </c>
      <c r="P145" s="100"/>
      <c r="Q145" s="90">
        <v>7.42</v>
      </c>
      <c r="R145" s="87"/>
      <c r="S145" s="256">
        <f>IF((LOAA&gt;LOA),0.025*LOAA,0.025*LOA)</f>
        <v>0.1855</v>
      </c>
      <c r="T145" s="91">
        <v>0.23</v>
      </c>
      <c r="U145" s="91">
        <v>0</v>
      </c>
      <c r="V145" s="258">
        <f>IF((_xlfn.SINGLE(LOAA)&gt;_xlfn.SINGLE(LOA)),_xlfn.SINGLE(LOAA),_xlfn.SINGLE(LOA)-_xlfn.SINGLE(FOC)-_xlfn.SINGLE(AOC))</f>
        <v>7.1899999999999995</v>
      </c>
      <c r="W145" s="259">
        <f>IF(RL&gt;0,IF(RL&gt;'Look Ups'!Y$7,'Look Ups'!Y$8,('Look Ups'!Y$3*RL^3+'Look Ups'!Y$4*RL^2+'Look Ups'!Y$5*RL+'Look Ups'!Y$6)),0)</f>
        <v>0.29059639364700002</v>
      </c>
      <c r="X145" s="92">
        <v>1150</v>
      </c>
      <c r="Y145" s="262">
        <f ca="1">IF(WDATE&lt;(TODAY()-'Look Ups'!$D$4*365),-WM*'Look Ups'!$D$5/100,0)</f>
        <v>-172.5</v>
      </c>
      <c r="Z145" s="93"/>
      <c r="AA145" s="93"/>
      <c r="AB145" s="75"/>
      <c r="AC145" s="265">
        <f>WCD+NC*'Look Ups'!$AF$3</f>
        <v>0</v>
      </c>
      <c r="AD145" s="265">
        <f ca="1">IF(RL&lt;'Look Ups'!AM$3,'Look Ups'!AM$4,IF(RL&gt;'Look Ups'!AM$5,'Look Ups'!AM$6,(RL-'Look Ups'!AM$3)/('Look Ups'!AM$5-'Look Ups'!AM$3)*('Look Ups'!AM$6-'Look Ups'!AM$4)+'Look Ups'!AM$4))/100*WS</f>
        <v>275.83272727272731</v>
      </c>
      <c r="AE145" s="266">
        <f ca="1">WM+WP+WE</f>
        <v>977.5</v>
      </c>
      <c r="AF145" s="267">
        <f ca="1">_xlfn.SINGLE(WS)+IF(_xlfn.SINGLE(TCW)&gt;=_xlfn.SINGLE(CWA),_xlfn.SINGLE(CWA),_xlfn.SINGLE(TCW))</f>
        <v>977.5</v>
      </c>
      <c r="AG145" s="94" t="s">
        <v>145</v>
      </c>
      <c r="AH145" s="95" t="s">
        <v>146</v>
      </c>
      <c r="AI145" s="96" t="s">
        <v>147</v>
      </c>
      <c r="AJ145" s="218"/>
      <c r="AK145" s="273">
        <f>IF(C145="",0,VLOOKUP(AG145,'Look Ups'!$F$3:$G$6,2,0)*VLOOKUP(AH145,'Look Ups'!$I$3:$J$5,2,0)*VLOOKUP(AI145,'Look Ups'!$L$3:$M$7,2,0)*IF(AJ145="",1,VLOOKUP(AJ145,'Look Ups'!$O$3:$P$4,2,0)))</f>
        <v>1</v>
      </c>
      <c r="AL145" s="83">
        <v>9.33</v>
      </c>
      <c r="AM145" s="91">
        <v>9.06</v>
      </c>
      <c r="AN145" s="91">
        <v>3.07</v>
      </c>
      <c r="AO145" s="91">
        <v>1.25</v>
      </c>
      <c r="AP145" s="91">
        <v>0.27</v>
      </c>
      <c r="AQ145" s="91">
        <v>8.93</v>
      </c>
      <c r="AR145" s="91">
        <v>0.01</v>
      </c>
      <c r="AS145" s="91">
        <v>3.26</v>
      </c>
      <c r="AT145" s="91">
        <v>0.04</v>
      </c>
      <c r="AU145" s="91">
        <v>0.41</v>
      </c>
      <c r="AV145" s="91" t="s">
        <v>148</v>
      </c>
      <c r="AW145" s="97">
        <v>0</v>
      </c>
      <c r="AX145" s="256">
        <f>P+ER</f>
        <v>8.9699999999999989</v>
      </c>
      <c r="AY145" s="256">
        <f>P*0.375*MC</f>
        <v>1.3729874999999998</v>
      </c>
      <c r="AZ145" s="275">
        <f>IF(C145="",0,(0.5*(_ML1*LPM)+0.5*(_ML1*HB)+0.66*(P*PR)+0.66*(_ML2*RDM)+0.66*(E*ER))*VLOOKUP(BATT,'Look Ups'!$U$3:$V$4,2,0))</f>
        <v>21.912294000000003</v>
      </c>
      <c r="BA145" s="98"/>
      <c r="BB145" s="99"/>
      <c r="BC145" s="83">
        <v>7.67</v>
      </c>
      <c r="BD145" s="91">
        <v>2.78</v>
      </c>
      <c r="BE145" s="91">
        <v>3.05</v>
      </c>
      <c r="BF145" s="91">
        <v>0.1</v>
      </c>
      <c r="BG145" s="91">
        <v>6.9</v>
      </c>
      <c r="BH145" s="91"/>
      <c r="BI145" s="91"/>
      <c r="BJ145" s="91">
        <v>0.26</v>
      </c>
      <c r="BK145" s="91">
        <v>0</v>
      </c>
      <c r="BL145" s="97">
        <v>0</v>
      </c>
      <c r="BM145" s="275">
        <f>(0.5*LL*LPG)+(0.5*_LG1*HG)+(0.66*LL*LLRG)+(0.66*FG*FRG)+(IF((HG&gt;0),(0.66*_LG2*LRG),(0.66*_LG1*LRG)))</f>
        <v>12.046639999999998</v>
      </c>
      <c r="BN145" s="282"/>
      <c r="BO145" s="283"/>
      <c r="BP145" s="284"/>
      <c r="BQ145" s="284"/>
      <c r="BR145" s="283"/>
      <c r="BS145" s="284"/>
      <c r="BT145" s="284"/>
      <c r="BU145" s="280">
        <f>(0.5*LLS*LPS)+(0.66*LLS*LLRS)+(0.66*LS*LRS)+(0.66*FS*FRS)</f>
        <v>0</v>
      </c>
      <c r="BV145" s="285"/>
      <c r="BW145" s="283"/>
      <c r="BX145" s="283"/>
      <c r="BY145" s="283"/>
      <c r="BZ145" s="283"/>
      <c r="CA145" s="283"/>
      <c r="CB145" s="283"/>
      <c r="CC145" s="275">
        <f>(0.5*LLD*LPD)+(0.66*LLD*LLRD)+(0.66*LCHD*LRD)+(0.66*FD*FRD)</f>
        <v>0</v>
      </c>
      <c r="CD145" s="98">
        <v>7.19</v>
      </c>
      <c r="CE145" s="91">
        <v>11.23</v>
      </c>
      <c r="CF145" s="91">
        <v>10.35</v>
      </c>
      <c r="CG145" s="91">
        <v>5.72</v>
      </c>
      <c r="CH145" s="266">
        <f>IF(SF&gt;0,SMG/SF*100,"")</f>
        <v>79.554937413073702</v>
      </c>
      <c r="CI145" s="283"/>
      <c r="CJ145" s="280">
        <f>SF*(_SL1+_SL2)/4+(SMG-SF/2)*(_SL1+_SL2)/3</f>
        <v>54.07588333333333</v>
      </c>
      <c r="CK145" s="83">
        <v>5.59</v>
      </c>
      <c r="CL145" s="91">
        <v>9.36</v>
      </c>
      <c r="CM145" s="91">
        <v>7.47</v>
      </c>
      <c r="CN145" s="91">
        <v>2.82</v>
      </c>
      <c r="CO145" s="256">
        <f>IF(SCRF&gt;0,SCRMG/SCRF*100,"")</f>
        <v>50.447227191413234</v>
      </c>
      <c r="CP145" s="283"/>
      <c r="CQ145" s="256">
        <f>SCRF*(SCRL1+SCRL2)/4+(SCRMG-SCRF/2)*(SCRL1+SCRL2)/3</f>
        <v>23.660174999999995</v>
      </c>
      <c r="CR145" s="256" t="str">
        <f>IF(CO145&lt;'Look Ups'!$AC$4,"Yes","No")</f>
        <v>Yes</v>
      </c>
      <c r="CS145" s="267">
        <f>IF(CR145="Yes",MIN(150,('Look Ups'!$AC$4-PSCR)/('Look Ups'!$AC$4-'Look Ups'!$AC$3)*100),0)</f>
        <v>31.055456171735329</v>
      </c>
      <c r="CT145" s="83"/>
      <c r="CU145" s="91"/>
      <c r="CV145" s="91"/>
      <c r="CW145" s="91"/>
      <c r="CX145" s="256" t="str">
        <f>IF(USCRF&gt;0,USCRMG/USCRF*100,"")</f>
        <v/>
      </c>
      <c r="CY145" s="293">
        <f>IF(PUSCR&lt;'Look Ups'!$AC$4,MIN(150,('Look Ups'!$AC$4-PUSCR)/('Look Ups'!$AC$4-'Look Ups'!$AC$3)*100),0)</f>
        <v>0</v>
      </c>
      <c r="CZ145" s="275">
        <f>IF(PUSCR&lt;'Look Ups'!$AC$4,USCRF*(USCRL1+USCRL2)/4+(USCRMG-USCRF/2)*(USCRL1+USCRL2)/3,0)</f>
        <v>0</v>
      </c>
      <c r="DA145" s="294">
        <f>IF(ZVAL=1,1,IF(LPM&gt;0,0.64*((AM+MAM)/(E+(MC/2))^2)^0.3,0))</f>
        <v>1</v>
      </c>
      <c r="DB145" s="256">
        <f>0.65*((AM+MAM)*EFM)+0.35*((AM+MAM)*ZVAL)</f>
        <v>23.285281500000004</v>
      </c>
      <c r="DC145" s="256">
        <f>IF(ZVAL=1,1,IF(LPG&gt;0,0.72*(AG/(LPG^2))^0.3,0))</f>
        <v>1</v>
      </c>
      <c r="DD145" s="256">
        <f>AG*EFG</f>
        <v>12.046639999999998</v>
      </c>
      <c r="DE145" s="256">
        <f>IF(AZ145&gt;0,'Look Ups'!$S$3,0)</f>
        <v>1</v>
      </c>
      <c r="DF145" s="256">
        <f>IF(LPS&gt;0,0.72*(AS/(LPS^2))^0.3,0)</f>
        <v>0</v>
      </c>
      <c r="DG145" s="256">
        <f>EFS*AS</f>
        <v>0</v>
      </c>
      <c r="DH145" s="256">
        <f>IF(LPD&gt;0,0.72*(AD/(LPD^2))^0.3,0)</f>
        <v>0</v>
      </c>
      <c r="DI145" s="280">
        <f>IF((AD-AG)&gt;0,0.3*(AD-AG)*EFD,0)</f>
        <v>0</v>
      </c>
      <c r="DJ145" s="295" t="str">
        <f>IF((SCRF=0),"-",IF(AND(MSASC&gt;AG,SCRMG&lt;(0.75*SCRF)),"valid","ERROR"))</f>
        <v>valid</v>
      </c>
      <c r="DK145" s="266" t="str">
        <f>IF((SF=0),"-",IF((SMG&lt;(0.75*SF)),"ERROR",IF(AND(MSASP&gt;MSASC,MSASP&gt;AG,MSASP&gt;=0.36*RSAM),"valid","Small")))</f>
        <v>valid</v>
      </c>
      <c r="DL145" s="267" t="str">
        <f>IF(C145="","",CONCATENATE("MG",IF(FLSCR="valid","Scr",""),IF(FLSPI="valid","SP","")))</f>
        <v>MGScrSP</v>
      </c>
      <c r="DM145" s="294">
        <f>RSAM+RSAG</f>
        <v>35.3319215</v>
      </c>
      <c r="DN145" s="256">
        <f>IF(MSASP&gt;0,'Look Ups'!$AI$4*(ZVAL*MSASP-RSAG),0)</f>
        <v>12.608772999999999</v>
      </c>
      <c r="DO145" s="256">
        <f>IF(AND(MSASC&gt;0,(MSASC&gt;=0.36*RSAM)),('Look Ups'!$AI$3*(ZVAL*MSASC-RSAG)),(0))</f>
        <v>4.0647372499999985</v>
      </c>
      <c r="DP145" s="256">
        <f>IF(MSASP&gt;0,'Look Ups'!$AI$5*(ZVAL*MSASP-RSAG),0)</f>
        <v>11.768188133333334</v>
      </c>
      <c r="DQ145" s="256">
        <f>IF(MSASC&gt;0,'Look Ups'!$AI$6*(MSASC-RSAG),0)</f>
        <v>0.8129474499999999</v>
      </c>
      <c r="DR145" s="280">
        <f>'Look Ups'!$AI$7*MAX(IF(MSAUSC&gt;0,EUSC/100*(MSAUSC-RSAG),0),IF(CR145="Yes",ELSC/100*(MSASC-RSAG),0))</f>
        <v>0.90165906797853546</v>
      </c>
      <c r="DS145" s="280">
        <f>0.36*RSAM</f>
        <v>8.3827013400000006</v>
      </c>
      <c r="DT145" s="296">
        <f>_xlfn.IFS(SPC="MG",RAMG+DS145,SPC="MGScr",RAMG+RASCO,SPC="MGSp",RAMG+RASPO,SPC="MGScrSp",RAMG+RASPSC+RASCR)+RAUSC+RSAST+RSAD+RSAMZ+RSA2M</f>
        <v>48.81471615131187</v>
      </c>
      <c r="DU145" s="63"/>
    </row>
    <row r="146" spans="1:125" ht="15.6" customHeight="1" x14ac:dyDescent="0.3">
      <c r="A146" s="4"/>
      <c r="B146" s="65"/>
      <c r="C146" s="64" t="s">
        <v>557</v>
      </c>
      <c r="D146" s="85" t="s">
        <v>558</v>
      </c>
      <c r="E146" s="86" t="s">
        <v>559</v>
      </c>
      <c r="F146" s="252">
        <f ca="1">IF(RW=0,0,ROUND(DLF*0.93*RL^LF*RSA^0.4/RW^0.325,3))</f>
        <v>0.97399999999999998</v>
      </c>
      <c r="G146" s="252" t="str">
        <f ca="1">IF(OR(FLSCR="ERROR",FLSPI="ERROR"),"No",IF(TODAY()-'Look Ups'!$D$4*365&gt;I146,"WP Applied","Yes"))</f>
        <v>WP Applied</v>
      </c>
      <c r="H146" s="253" t="str">
        <f>IF(SPC="","",CONCATENATE("Main-Genoa",IF(FLSCR="valid",IF(OR(CR146="Yes",MSAUSC&gt;0),"-Screacher (Upwind)","-Screacher"),""),IF(FLSPI="valid","-Spinnaker",""),IF(RSAMZ&gt;0,"-Mizzen",""),IF(RSA2M&gt;0,"-Second Main",""),IF(AS&gt;0,"-Staysail",""),IF(AD&gt;0,"-Drifter","")))</f>
        <v>Main-Genoa-Screacher (Upwind)-Spinnaker</v>
      </c>
      <c r="I146" s="1">
        <v>41494</v>
      </c>
      <c r="J146" s="1">
        <v>43475</v>
      </c>
      <c r="K146" s="87" t="s">
        <v>365</v>
      </c>
      <c r="L146" s="87" t="s">
        <v>142</v>
      </c>
      <c r="M146" s="207"/>
      <c r="N146" s="88" t="s">
        <v>165</v>
      </c>
      <c r="O146" s="88"/>
      <c r="P146" s="100"/>
      <c r="Q146" s="90">
        <v>9.34</v>
      </c>
      <c r="R146" s="87"/>
      <c r="S146" s="256">
        <f>IF((LOAA&gt;LOA),0.025*LOAA,0.025*LOA)</f>
        <v>0.23350000000000001</v>
      </c>
      <c r="T146" s="91">
        <v>0.12</v>
      </c>
      <c r="U146" s="91">
        <v>0</v>
      </c>
      <c r="V146" s="258">
        <f>IF((_xlfn.SINGLE(LOAA)&gt;_xlfn.SINGLE(LOA)),_xlfn.SINGLE(LOAA),_xlfn.SINGLE(LOA)-_xlfn.SINGLE(FOC)-_xlfn.SINGLE(AOC))</f>
        <v>9.2200000000000006</v>
      </c>
      <c r="W146" s="259">
        <f>IF(RL&gt;0,IF(RL&gt;'Look Ups'!Y$7,'Look Ups'!Y$8,('Look Ups'!Y$3*RL^3+'Look Ups'!Y$4*RL^2+'Look Ups'!Y$5*RL+'Look Ups'!Y$6)),0)</f>
        <v>0.29714289578399999</v>
      </c>
      <c r="X146" s="92">
        <v>1888</v>
      </c>
      <c r="Y146" s="262">
        <f ca="1">IF(WDATE&lt;(TODAY()-'Look Ups'!$D$4*365),-WM*'Look Ups'!$D$5/100,0)</f>
        <v>-283.2</v>
      </c>
      <c r="Z146" s="93"/>
      <c r="AA146" s="93"/>
      <c r="AB146" s="75"/>
      <c r="AC146" s="265">
        <f>WCD+NC*'Look Ups'!$AF$3</f>
        <v>0</v>
      </c>
      <c r="AD146" s="265">
        <f ca="1">IF(RL&lt;'Look Ups'!AM$3,'Look Ups'!AM$4,IF(RL&gt;'Look Ups'!AM$5,'Look Ups'!AM$6,(RL-'Look Ups'!AM$3)/('Look Ups'!AM$5-'Look Ups'!AM$3)*('Look Ups'!AM$6-'Look Ups'!AM$4)+'Look Ups'!AM$4))/100*WS</f>
        <v>334.38196363636359</v>
      </c>
      <c r="AE146" s="266">
        <f ca="1">WM+WP+WE</f>
        <v>1604.8</v>
      </c>
      <c r="AF146" s="267">
        <f ca="1">_xlfn.SINGLE(WS)+IF(_xlfn.SINGLE(TCW)&gt;=_xlfn.SINGLE(CWA),_xlfn.SINGLE(CWA),_xlfn.SINGLE(TCW))</f>
        <v>1604.8</v>
      </c>
      <c r="AG146" s="94" t="s">
        <v>145</v>
      </c>
      <c r="AH146" s="95" t="s">
        <v>146</v>
      </c>
      <c r="AI146" s="96" t="s">
        <v>147</v>
      </c>
      <c r="AJ146" s="218"/>
      <c r="AK146" s="273">
        <f>IF(C146="",0,VLOOKUP(AG146,'Look Ups'!$F$3:$G$6,2,0)*VLOOKUP(AH146,'Look Ups'!$I$3:$J$5,2,0)*VLOOKUP(AI146,'Look Ups'!$L$3:$M$7,2,0)*IF(AJ146="",1,VLOOKUP(AJ146,'Look Ups'!$O$3:$P$4,2,0)))</f>
        <v>1</v>
      </c>
      <c r="AL146" s="83">
        <v>13.06</v>
      </c>
      <c r="AM146" s="91">
        <v>12.61</v>
      </c>
      <c r="AN146" s="91">
        <v>4.05</v>
      </c>
      <c r="AO146" s="91">
        <v>1.92</v>
      </c>
      <c r="AP146" s="91">
        <v>0.22</v>
      </c>
      <c r="AQ146" s="91">
        <v>13.05</v>
      </c>
      <c r="AR146" s="91">
        <v>0.13</v>
      </c>
      <c r="AS146" s="91">
        <v>4.13</v>
      </c>
      <c r="AT146" s="91">
        <v>7.0000000000000007E-2</v>
      </c>
      <c r="AU146" s="91">
        <v>0.62</v>
      </c>
      <c r="AV146" s="91" t="s">
        <v>148</v>
      </c>
      <c r="AW146" s="97"/>
      <c r="AX146" s="256">
        <f>P+ER</f>
        <v>13.120000000000001</v>
      </c>
      <c r="AY146" s="256">
        <f>P*0.375*MC</f>
        <v>3.0341250000000004</v>
      </c>
      <c r="AZ146" s="275">
        <f>IF(C146="",0,(0.5*(_ML1*LPM)+0.5*(_ML1*HB)+0.66*(P*PR)+0.66*(_ML2*RDM)+0.66*(E*ER))*VLOOKUP(BATT,'Look Ups'!$U$3:$V$4,2,0))</f>
        <v>42.125568000000001</v>
      </c>
      <c r="BA146" s="98"/>
      <c r="BB146" s="99"/>
      <c r="BC146" s="83">
        <v>11.02</v>
      </c>
      <c r="BD146" s="91">
        <v>2.92</v>
      </c>
      <c r="BE146" s="91">
        <v>3.04</v>
      </c>
      <c r="BF146" s="91">
        <v>0.03</v>
      </c>
      <c r="BG146" s="91">
        <v>10.4</v>
      </c>
      <c r="BH146" s="91"/>
      <c r="BI146" s="91"/>
      <c r="BJ146" s="91">
        <v>0.14000000000000001</v>
      </c>
      <c r="BK146" s="91">
        <v>0</v>
      </c>
      <c r="BL146" s="97" t="s">
        <v>446</v>
      </c>
      <c r="BM146" s="275">
        <f>(0.5*LL*LPG)+(0.5*_LG1*HG)+(0.66*LL*LLRG)+(0.66*FG*FRG)+(IF((HG&gt;0),(0.66*_LG2*LRG),(0.66*_LG1*LRG)))</f>
        <v>17.110351999999999</v>
      </c>
      <c r="BN146" s="282"/>
      <c r="BO146" s="283"/>
      <c r="BP146" s="284"/>
      <c r="BQ146" s="284"/>
      <c r="BR146" s="283"/>
      <c r="BS146" s="284"/>
      <c r="BT146" s="284"/>
      <c r="BU146" s="280">
        <f>(0.5*LLS*LPS)+(0.66*LLS*LLRS)+(0.66*LS*LRS)+(0.66*FS*FRS)</f>
        <v>0</v>
      </c>
      <c r="BV146" s="285"/>
      <c r="BW146" s="283"/>
      <c r="BX146" s="283"/>
      <c r="BY146" s="283"/>
      <c r="BZ146" s="283"/>
      <c r="CA146" s="283"/>
      <c r="CB146" s="283"/>
      <c r="CC146" s="275">
        <f>(0.5*LLD*LPD)+(0.66*LLD*LLRD)+(0.66*LCHD*LRD)+(0.66*FD*FRD)</f>
        <v>0</v>
      </c>
      <c r="CD146" s="98">
        <v>8.3800000000000008</v>
      </c>
      <c r="CE146" s="91">
        <v>15.6</v>
      </c>
      <c r="CF146" s="91">
        <v>14.34</v>
      </c>
      <c r="CG146" s="91">
        <v>7.02</v>
      </c>
      <c r="CH146" s="266">
        <f>IF(SF&gt;0,SMG/SF*100,"")</f>
        <v>83.770883054892593</v>
      </c>
      <c r="CI146" s="283"/>
      <c r="CJ146" s="280">
        <f>SF*(_SL1+_SL2)/4+(SMG-SF/2)*(_SL1+_SL2)/3</f>
        <v>90.967699999999994</v>
      </c>
      <c r="CK146" s="83">
        <v>7.47</v>
      </c>
      <c r="CL146" s="91">
        <v>12.79</v>
      </c>
      <c r="CM146" s="91">
        <v>10.44</v>
      </c>
      <c r="CN146" s="91">
        <v>3.78</v>
      </c>
      <c r="CO146" s="256">
        <f>IF(SCRF&gt;0,SCRMG/SCRF*100,"")</f>
        <v>50.602409638554214</v>
      </c>
      <c r="CP146" s="283"/>
      <c r="CQ146" s="256">
        <f>SCRF*(SCRL1+SCRL2)/4+(SCRMG-SCRF/2)*(SCRL1+SCRL2)/3</f>
        <v>43.730474999999991</v>
      </c>
      <c r="CR146" s="256" t="str">
        <f>IF(CO146&lt;'Look Ups'!$AC$4,"Yes","No")</f>
        <v>Yes</v>
      </c>
      <c r="CS146" s="267">
        <f>IF(CR146="Yes",MIN(150,('Look Ups'!$AC$4-PSCR)/('Look Ups'!$AC$4-'Look Ups'!$AC$3)*100),0)</f>
        <v>27.951807228915726</v>
      </c>
      <c r="CT146" s="83"/>
      <c r="CU146" s="91"/>
      <c r="CV146" s="91"/>
      <c r="CW146" s="91"/>
      <c r="CX146" s="256" t="str">
        <f>IF(USCRF&gt;0,USCRMG/USCRF*100,"")</f>
        <v/>
      </c>
      <c r="CY146" s="293">
        <f>IF(PUSCR&lt;'Look Ups'!$AC$4,MIN(150,('Look Ups'!$AC$4-PUSCR)/('Look Ups'!$AC$4-'Look Ups'!$AC$3)*100),0)</f>
        <v>0</v>
      </c>
      <c r="CZ146" s="275">
        <f>IF(PUSCR&lt;'Look Ups'!$AC$4,USCRF*(USCRL1+USCRL2)/4+(USCRMG-USCRF/2)*(USCRL1+USCRL2)/3,0)</f>
        <v>0</v>
      </c>
      <c r="DA146" s="294">
        <f>IF(ZVAL=1,1,IF(LPM&gt;0,0.64*((AM+MAM)/(E+(MC/2))^2)^0.3,0))</f>
        <v>1</v>
      </c>
      <c r="DB146" s="256">
        <f>0.65*((AM+MAM)*EFM)+0.35*((AM+MAM)*ZVAL)</f>
        <v>45.159693000000004</v>
      </c>
      <c r="DC146" s="256">
        <f>IF(ZVAL=1,1,IF(LPG&gt;0,0.72*(AG/(LPG^2))^0.3,0))</f>
        <v>1</v>
      </c>
      <c r="DD146" s="256">
        <f>AG*EFG</f>
        <v>17.110351999999999</v>
      </c>
      <c r="DE146" s="256">
        <f>IF(AZ146&gt;0,'Look Ups'!$S$3,0)</f>
        <v>1</v>
      </c>
      <c r="DF146" s="256">
        <f>IF(LPS&gt;0,0.72*(AS/(LPS^2))^0.3,0)</f>
        <v>0</v>
      </c>
      <c r="DG146" s="256">
        <f>EFS*AS</f>
        <v>0</v>
      </c>
      <c r="DH146" s="256">
        <f>IF(LPD&gt;0,0.72*(AD/(LPD^2))^0.3,0)</f>
        <v>0</v>
      </c>
      <c r="DI146" s="280">
        <f>IF((AD-AG)&gt;0,0.3*(AD-AG)*EFD,0)</f>
        <v>0</v>
      </c>
      <c r="DJ146" s="295" t="str">
        <f>IF((SCRF=0),"-",IF(AND(MSASC&gt;AG,SCRMG&lt;(0.75*SCRF)),"valid","ERROR"))</f>
        <v>valid</v>
      </c>
      <c r="DK146" s="266" t="str">
        <f>IF((SF=0),"-",IF((SMG&lt;(0.75*SF)),"ERROR",IF(AND(MSASP&gt;MSASC,MSASP&gt;AG,MSASP&gt;=0.36*RSAM),"valid","Small")))</f>
        <v>valid</v>
      </c>
      <c r="DL146" s="267" t="str">
        <f>IF(C146="","",CONCATENATE("MG",IF(FLSCR="valid","Scr",""),IF(FLSPI="valid","SP","")))</f>
        <v>MGScrSP</v>
      </c>
      <c r="DM146" s="294">
        <f>RSAM+RSAG</f>
        <v>62.270045000000003</v>
      </c>
      <c r="DN146" s="256">
        <f>IF(MSASP&gt;0,'Look Ups'!$AI$4*(ZVAL*MSASP-RSAG),0)</f>
        <v>22.157204400000001</v>
      </c>
      <c r="DO146" s="256">
        <f>IF(AND(MSASC&gt;0,(MSASC&gt;=0.36*RSAM)),('Look Ups'!$AI$3*(ZVAL*MSASC-RSAG)),(0))</f>
        <v>9.317043049999997</v>
      </c>
      <c r="DP146" s="256">
        <f>IF(MSASP&gt;0,'Look Ups'!$AI$5*(ZVAL*MSASP-RSAG),0)</f>
        <v>20.680057440000002</v>
      </c>
      <c r="DQ146" s="256">
        <f>IF(MSASC&gt;0,'Look Ups'!$AI$6*(MSASC-RSAG),0)</f>
        <v>1.8634086099999996</v>
      </c>
      <c r="DR146" s="280">
        <f>'Look Ups'!$AI$7*MAX(IF(MSAUSC&gt;0,EUSC/100*(MSAUSC-RSAG),0),IF(CR146="Yes",ELSC/100*(MSASC-RSAG),0))</f>
        <v>1.8602013662650638</v>
      </c>
      <c r="DS146" s="280">
        <f>0.36*RSAM</f>
        <v>16.25748948</v>
      </c>
      <c r="DT146" s="296">
        <f>_xlfn.IFS(SPC="MG",RAMG+DS146,SPC="MGScr",RAMG+RASCO,SPC="MGSp",RAMG+RASPO,SPC="MGScrSp",RAMG+RASPSC+RASCR)+RAUSC+RSAST+RSAD+RSAMZ+RSA2M</f>
        <v>86.673712416265062</v>
      </c>
      <c r="DU146" s="63"/>
    </row>
    <row r="147" spans="1:125" ht="15.6" customHeight="1" x14ac:dyDescent="0.3">
      <c r="A147" s="4"/>
      <c r="B147" s="64"/>
      <c r="C147" s="84" t="s">
        <v>560</v>
      </c>
      <c r="D147" s="125" t="s">
        <v>561</v>
      </c>
      <c r="E147" s="113" t="s">
        <v>562</v>
      </c>
      <c r="F147" s="252">
        <f ca="1">IF(RW=0,0,ROUND(DLF*0.93*RL^LF*RSA^0.4/RW^0.325,3))</f>
        <v>0.91700000000000004</v>
      </c>
      <c r="G147" s="252" t="str">
        <f ca="1">IF(OR(FLSCR="ERROR",FLSPI="ERROR"),"No",IF(TODAY()-'Look Ups'!$D$4*365&gt;I147,"WP Applied","Yes"))</f>
        <v>WP Applied</v>
      </c>
      <c r="H147" s="254" t="str">
        <f>IF(SPC="","",CONCATENATE("Main-Genoa",IF(FLSCR="valid",IF(OR(CR147="Yes",MSAUSC&gt;0),"-Screacher (Upwind)","-Screacher"),""),IF(FLSPI="valid","-Spinnaker",""),IF(RSAMZ&gt;0,"-Mizzen",""),IF(RSA2M&gt;0,"-Second Main",""),IF(AS&gt;0,"-Staysail",""),IF(AD&gt;0,"-Drifter","")))</f>
        <v>Main-Genoa-Spinnaker</v>
      </c>
      <c r="I147" s="126">
        <v>40620</v>
      </c>
      <c r="J147" s="126">
        <v>43105</v>
      </c>
      <c r="K147" s="127" t="s">
        <v>186</v>
      </c>
      <c r="L147" s="127" t="s">
        <v>142</v>
      </c>
      <c r="M147" s="210"/>
      <c r="N147" s="128" t="s">
        <v>165</v>
      </c>
      <c r="O147" s="128"/>
      <c r="P147" s="129"/>
      <c r="Q147" s="130">
        <v>12.97</v>
      </c>
      <c r="R147" s="127"/>
      <c r="S147" s="257">
        <f>IF((LOAA&gt;LOA),0.025*LOAA,0.025*LOA)</f>
        <v>0.32425000000000004</v>
      </c>
      <c r="T147" s="131">
        <v>0.47</v>
      </c>
      <c r="U147" s="131">
        <v>0</v>
      </c>
      <c r="V147" s="260">
        <f>IF((_xlfn.SINGLE(LOAA)&gt;_xlfn.SINGLE(LOA)),_xlfn.SINGLE(LOAA),_xlfn.SINGLE(LOA)-_xlfn.SINGLE(FOC)-_xlfn.SINGLE(AOC))</f>
        <v>12.5</v>
      </c>
      <c r="W147" s="261">
        <f>IF(RL&gt;0,IF(RL&gt;'Look Ups'!Y$7,'Look Ups'!Y$8,('Look Ups'!Y$3*RL^3+'Look Ups'!Y$4*RL^2+'Look Ups'!Y$5*RL+'Look Ups'!Y$6)),0)</f>
        <v>0.3</v>
      </c>
      <c r="X147" s="132">
        <v>5258</v>
      </c>
      <c r="Y147" s="264">
        <f ca="1">IF(WDATE&lt;(TODAY()-'Look Ups'!$D$4*365),-WM*'Look Ups'!$D$5/100,0)</f>
        <v>-788.7</v>
      </c>
      <c r="Z147" s="133"/>
      <c r="AA147" s="133"/>
      <c r="AB147" s="224"/>
      <c r="AC147" s="271">
        <f>WCD+NC*'Look Ups'!$AF$3</f>
        <v>0</v>
      </c>
      <c r="AD147" s="271">
        <f ca="1">IF(RL&lt;'Look Ups'!AM$3,'Look Ups'!AM$4,IF(RL&gt;'Look Ups'!AM$5,'Look Ups'!AM$6,(RL-'Look Ups'!AM$3)/('Look Ups'!AM$5-'Look Ups'!AM$3)*('Look Ups'!AM$6-'Look Ups'!AM$4)+'Look Ups'!AM$4))/100*WS</f>
        <v>446.93000000000006</v>
      </c>
      <c r="AE147" s="271">
        <f ca="1">WM+WP+WE</f>
        <v>4469.3</v>
      </c>
      <c r="AF147" s="272">
        <f ca="1">_xlfn.SINGLE(WS)+IF(_xlfn.SINGLE(TCW)&gt;=_xlfn.SINGLE(CWA),_xlfn.SINGLE(CWA),_xlfn.SINGLE(TCW))</f>
        <v>4469.3</v>
      </c>
      <c r="AG147" s="134" t="s">
        <v>145</v>
      </c>
      <c r="AH147" s="135" t="s">
        <v>146</v>
      </c>
      <c r="AI147" s="124" t="s">
        <v>147</v>
      </c>
      <c r="AJ147" s="219"/>
      <c r="AK147" s="274">
        <f>IF(C147="",0,VLOOKUP(AG147,'Look Ups'!$F$3:$G$6,2,0)*VLOOKUP(AH147,'Look Ups'!$I$3:$J$5,2,0)*VLOOKUP(AI147,'Look Ups'!$L$3:$M$7,2,0)*IF(AJ147="",1,VLOOKUP(AJ147,'Look Ups'!$O$3:$P$4,2,0)))</f>
        <v>1</v>
      </c>
      <c r="AL147" s="136">
        <v>15.73</v>
      </c>
      <c r="AM147" s="131">
        <v>15.31</v>
      </c>
      <c r="AN147" s="131">
        <v>4.5999999999999996</v>
      </c>
      <c r="AO147" s="131">
        <v>1.82</v>
      </c>
      <c r="AP147" s="131">
        <v>0.44</v>
      </c>
      <c r="AQ147" s="131">
        <v>15.87</v>
      </c>
      <c r="AR147" s="131">
        <v>0.28999999999999998</v>
      </c>
      <c r="AS147" s="131">
        <v>4.67</v>
      </c>
      <c r="AT147" s="131">
        <v>0.13</v>
      </c>
      <c r="AU147" s="131">
        <v>1.2</v>
      </c>
      <c r="AV147" s="131" t="s">
        <v>148</v>
      </c>
      <c r="AW147" s="128" t="s">
        <v>563</v>
      </c>
      <c r="AX147" s="257">
        <f>P+ER</f>
        <v>16</v>
      </c>
      <c r="AY147" s="257">
        <f>P*0.375*MC</f>
        <v>7.1414999999999997</v>
      </c>
      <c r="AZ147" s="276">
        <f>IF(C147="",0,(0.5*(_ML1*LPM)+0.5*(_ML1*HB)+0.66*(P*PR)+0.66*(_ML2*RDM)+0.66*(E*ER))*VLOOKUP(BATT,'Look Ups'!$U$3:$V$4,2,0))</f>
        <v>58.377527999999998</v>
      </c>
      <c r="BA147" s="137"/>
      <c r="BB147" s="138"/>
      <c r="BC147" s="136">
        <v>14.45</v>
      </c>
      <c r="BD147" s="131">
        <v>5</v>
      </c>
      <c r="BE147" s="131">
        <v>5.69</v>
      </c>
      <c r="BF147" s="131">
        <v>0.11</v>
      </c>
      <c r="BG147" s="131">
        <v>12.7</v>
      </c>
      <c r="BH147" s="131"/>
      <c r="BI147" s="131"/>
      <c r="BJ147" s="131">
        <v>-0.32</v>
      </c>
      <c r="BK147" s="131">
        <v>0.05</v>
      </c>
      <c r="BL147" s="128">
        <v>0</v>
      </c>
      <c r="BM147" s="276">
        <f>(0.5*LL*LPG)+(0.5*_LG1*HG)+(0.66*LL*LLRG)+(0.66*FG*FRG)+(IF((HG&gt;0),(0.66*_LG2*LRG),(0.66*_LG1*LRG)))</f>
        <v>34.332704</v>
      </c>
      <c r="BN147" s="287"/>
      <c r="BO147" s="288"/>
      <c r="BP147" s="289"/>
      <c r="BQ147" s="289"/>
      <c r="BR147" s="288"/>
      <c r="BS147" s="289"/>
      <c r="BT147" s="289"/>
      <c r="BU147" s="290">
        <f>(0.5*LLS*LPS)+(0.66*LLS*LLRS)+(0.66*LS*LRS)+(0.66*FS*FRS)</f>
        <v>0</v>
      </c>
      <c r="BV147" s="285"/>
      <c r="BW147" s="283"/>
      <c r="BX147" s="283"/>
      <c r="BY147" s="283"/>
      <c r="BZ147" s="283"/>
      <c r="CA147" s="283"/>
      <c r="CB147" s="283"/>
      <c r="CC147" s="276">
        <f>(0.5*LLD*LPD)+(0.66*LLD*LLRD)+(0.66*LCHD*LRD)+(0.66*FD*FRD)</f>
        <v>0</v>
      </c>
      <c r="CD147" s="137">
        <v>11.19</v>
      </c>
      <c r="CE147" s="131">
        <v>17.55</v>
      </c>
      <c r="CF147" s="131">
        <v>16.09</v>
      </c>
      <c r="CG147" s="131">
        <v>10.5</v>
      </c>
      <c r="CH147" s="271">
        <f>IF(SF&gt;0,SMG/SF*100,"")</f>
        <v>93.833780160857913</v>
      </c>
      <c r="CI147" s="291"/>
      <c r="CJ147" s="290">
        <f>SF*(_SL1+_SL2)/4+(SMG-SF/2)*(_SL1+_SL2)/3</f>
        <v>149.10929999999999</v>
      </c>
      <c r="CK147" s="136"/>
      <c r="CL147" s="131"/>
      <c r="CM147" s="131"/>
      <c r="CN147" s="131"/>
      <c r="CO147" s="257" t="str">
        <f>IF(SCRF&gt;0,SCRMG/SCRF*100,"")</f>
        <v/>
      </c>
      <c r="CP147" s="291"/>
      <c r="CQ147" s="257">
        <f>SCRF*(SCRL1+SCRL2)/4+(SCRMG-SCRF/2)*(SCRL1+SCRL2)/3</f>
        <v>0</v>
      </c>
      <c r="CR147" s="257" t="str">
        <f>IF(CO147&lt;'Look Ups'!$AC$4,"Yes","No")</f>
        <v>No</v>
      </c>
      <c r="CS147" s="272">
        <f>IF(CR147="Yes",MIN(150,('Look Ups'!$AC$4-PSCR)/('Look Ups'!$AC$4-'Look Ups'!$AC$3)*100),0)</f>
        <v>0</v>
      </c>
      <c r="CT147" s="136"/>
      <c r="CU147" s="131"/>
      <c r="CV147" s="131"/>
      <c r="CW147" s="131"/>
      <c r="CX147" s="257" t="str">
        <f>IF(USCRF&gt;0,USCRMG/USCRF*100,"")</f>
        <v/>
      </c>
      <c r="CY147" s="297">
        <f>IF(PUSCR&lt;'Look Ups'!$AC$4,MIN(150,('Look Ups'!$AC$4-PUSCR)/('Look Ups'!$AC$4-'Look Ups'!$AC$3)*100),0)</f>
        <v>0</v>
      </c>
      <c r="CZ147" s="276">
        <f>IF(PUSCR&lt;'Look Ups'!$AC$4,USCRF*(USCRL1+USCRL2)/4+(USCRMG-USCRF/2)*(USCRL1+USCRL2)/3,0)</f>
        <v>0</v>
      </c>
      <c r="DA147" s="298">
        <f>IF(ZVAL=1,1,IF(LPM&gt;0,0.64*((AM+MAM)/(E+(MC/2))^2)^0.3,0))</f>
        <v>1</v>
      </c>
      <c r="DB147" s="257">
        <f>0.65*((AM+MAM)*EFM)+0.35*((AM+MAM)*ZVAL)</f>
        <v>65.519027999999992</v>
      </c>
      <c r="DC147" s="257">
        <f>IF(ZVAL=1,1,IF(LPG&gt;0,0.72*(AG/(LPG^2))^0.3,0))</f>
        <v>1</v>
      </c>
      <c r="DD147" s="257">
        <f>AG*EFG</f>
        <v>34.332704</v>
      </c>
      <c r="DE147" s="257">
        <f>IF(AZ147&gt;0,'Look Ups'!$S$3,0)</f>
        <v>1</v>
      </c>
      <c r="DF147" s="257">
        <f>IF(LPS&gt;0,0.72*(AS/(LPS^2))^0.3,0)</f>
        <v>0</v>
      </c>
      <c r="DG147" s="257">
        <f>EFS*AS</f>
        <v>0</v>
      </c>
      <c r="DH147" s="257">
        <f>IF(LPD&gt;0,0.72*(AD/(LPD^2))^0.3,0)</f>
        <v>0</v>
      </c>
      <c r="DI147" s="290">
        <f>IF((AD-AG)&gt;0,0.3*(AD-AG)*EFD,0)</f>
        <v>0</v>
      </c>
      <c r="DJ147" s="299" t="str">
        <f>IF((SCRF=0),"-",IF(AND(MSASC&gt;AG,SCRMG&lt;(0.75*SCRF)),"valid","ERROR"))</f>
        <v>-</v>
      </c>
      <c r="DK147" s="271" t="str">
        <f>IF((SF=0),"-",IF((SMG&lt;(0.75*SF)),"ERROR",IF(AND(MSASP&gt;MSASC,MSASP&gt;AG,MSASP&gt;=0.36*RSAM),"valid","Small")))</f>
        <v>valid</v>
      </c>
      <c r="DL147" s="272" t="str">
        <f>IF(C147="","",CONCATENATE("MG",IF(FLSCR="valid","Scr",""),IF(FLSPI="valid","SP","")))</f>
        <v>MGSP</v>
      </c>
      <c r="DM147" s="298">
        <f>RSAM+RSAG</f>
        <v>99.851731999999998</v>
      </c>
      <c r="DN147" s="257">
        <f>IF(MSASP&gt;0,'Look Ups'!$AI$4*(ZVAL*MSASP-RSAG),0)</f>
        <v>34.432978799999994</v>
      </c>
      <c r="DO147" s="257">
        <f>IF(AND(MSASC&gt;0,(MSASC&gt;=0.36*RSAM)),('Look Ups'!$AI$3*(ZVAL*MSASC-RSAG)),(0))</f>
        <v>0</v>
      </c>
      <c r="DP147" s="257">
        <f>IF(MSASP&gt;0,'Look Ups'!$AI$5*(ZVAL*MSASP-RSAG),0)</f>
        <v>32.137446879999999</v>
      </c>
      <c r="DQ147" s="257">
        <f>IF(MSASC&gt;0,'Look Ups'!$AI$6*(MSASC-RSAG),0)</f>
        <v>0</v>
      </c>
      <c r="DR147" s="290">
        <f>'Look Ups'!$AI$7*MAX(IF(MSAUSC&gt;0,EUSC/100*(MSAUSC-RSAG),0),IF(CR147="Yes",ELSC/100*(MSASC-RSAG),0))</f>
        <v>0</v>
      </c>
      <c r="DS147" s="290">
        <f>0.36*RSAM</f>
        <v>23.586850079999998</v>
      </c>
      <c r="DT147" s="300">
        <f>_xlfn.IFS(SPC="MG",RAMG+DS147,SPC="MGScr",RAMG+RASCO,SPC="MGSp",RAMG+RASPO,SPC="MGScrSp",RAMG+RASPSC+RASCR)+RAUSC+RSAST+RSAD+RSAMZ+RSA2M</f>
        <v>134.2847108</v>
      </c>
      <c r="DU147" s="63"/>
    </row>
    <row r="148" spans="1:125" ht="15.6" customHeight="1" x14ac:dyDescent="0.3">
      <c r="A148" s="4"/>
      <c r="B148" s="64"/>
      <c r="C148" s="64" t="s">
        <v>564</v>
      </c>
      <c r="D148" s="85" t="s">
        <v>324</v>
      </c>
      <c r="E148" s="86" t="s">
        <v>565</v>
      </c>
      <c r="F148" s="252">
        <f ca="1">IF(RW=0,0,ROUND(DLF*0.93*RL^LF*RSA^0.4/RW^0.325,3))</f>
        <v>0.98199999999999998</v>
      </c>
      <c r="G148" s="252" t="str">
        <f ca="1">IF(OR(FLSCR="ERROR",FLSPI="ERROR"),"No",IF(TODAY()-'Look Ups'!$D$4*365&gt;I148,"WP Applied","Yes"))</f>
        <v>Yes</v>
      </c>
      <c r="H148" s="253" t="str">
        <f>IF(SPC="","",CONCATENATE("Main-Genoa",IF(FLSCR="valid",IF(OR(CR148="Yes",MSAUSC&gt;0),"-Screacher (Upwind)","-Screacher"),""),IF(FLSPI="valid","-Spinnaker",""),IF(RSAMZ&gt;0,"-Mizzen",""),IF(RSA2M&gt;0,"-Second Main",""),IF(AS&gt;0,"-Staysail",""),IF(AD&gt;0,"-Drifter","")))</f>
        <v>Main-Genoa-Screacher-Spinnaker</v>
      </c>
      <c r="I148" s="1">
        <v>42665</v>
      </c>
      <c r="J148" s="1">
        <v>44159</v>
      </c>
      <c r="K148" s="139" t="s">
        <v>222</v>
      </c>
      <c r="L148" s="87" t="s">
        <v>176</v>
      </c>
      <c r="M148" s="207"/>
      <c r="N148" s="88" t="s">
        <v>143</v>
      </c>
      <c r="O148" s="88"/>
      <c r="P148" s="100"/>
      <c r="Q148" s="90">
        <v>7.28</v>
      </c>
      <c r="R148" s="87"/>
      <c r="S148" s="256">
        <f>IF((LOAA&gt;LOA),0.025*LOAA,0.025*LOA)</f>
        <v>0.18200000000000002</v>
      </c>
      <c r="T148" s="91"/>
      <c r="U148" s="91"/>
      <c r="V148" s="258">
        <f>IF((_xlfn.SINGLE(LOAA)&gt;_xlfn.SINGLE(LOA)),_xlfn.SINGLE(LOAA),_xlfn.SINGLE(LOA)-_xlfn.SINGLE(FOC)-_xlfn.SINGLE(AOC))</f>
        <v>7.28</v>
      </c>
      <c r="W148" s="259">
        <f>IF(RL&gt;0,IF(RL&gt;'Look Ups'!Y$7,'Look Ups'!Y$8,('Look Ups'!Y$3*RL^3+'Look Ups'!Y$4*RL^2+'Look Ups'!Y$5*RL+'Look Ups'!Y$6)),0)</f>
        <v>0.29099457561600001</v>
      </c>
      <c r="X148" s="92">
        <v>597</v>
      </c>
      <c r="Y148" s="262">
        <f ca="1">IF(WDATE&lt;(TODAY()-'Look Ups'!$D$4*365),-WM*'Look Ups'!$D$5/100,0)</f>
        <v>0</v>
      </c>
      <c r="Z148" s="93"/>
      <c r="AA148" s="93"/>
      <c r="AB148" s="75"/>
      <c r="AC148" s="265">
        <f>WCD+NC*'Look Ups'!$AF$3</f>
        <v>0</v>
      </c>
      <c r="AD148" s="265">
        <f ca="1">IF(RL&lt;'Look Ups'!AM$3,'Look Ups'!AM$4,IF(RL&gt;'Look Ups'!AM$5,'Look Ups'!AM$6,(RL-'Look Ups'!AM$3)/('Look Ups'!AM$5-'Look Ups'!AM$3)*('Look Ups'!AM$6-'Look Ups'!AM$4)+'Look Ups'!AM$4))/100*WS</f>
        <v>166.50872727272727</v>
      </c>
      <c r="AE148" s="266">
        <f ca="1">WM+WP+WE</f>
        <v>597</v>
      </c>
      <c r="AF148" s="267">
        <f ca="1">_xlfn.SINGLE(WS)+IF(_xlfn.SINGLE(TCW)&gt;=_xlfn.SINGLE(CWA),_xlfn.SINGLE(CWA),_xlfn.SINGLE(TCW))</f>
        <v>597</v>
      </c>
      <c r="AG148" s="94" t="s">
        <v>145</v>
      </c>
      <c r="AH148" s="95" t="s">
        <v>146</v>
      </c>
      <c r="AI148" s="96" t="s">
        <v>147</v>
      </c>
      <c r="AJ148" s="218"/>
      <c r="AK148" s="273">
        <f>IF(C148="",0,VLOOKUP(AG148,'Look Ups'!$F$3:$G$6,2,0)*VLOOKUP(AH148,'Look Ups'!$I$3:$J$5,2,0)*VLOOKUP(AI148,'Look Ups'!$L$3:$M$7,2,0)*IF(AJ148="",1,VLOOKUP(AJ148,'Look Ups'!$O$3:$P$4,2,0)))</f>
        <v>1</v>
      </c>
      <c r="AL148" s="83">
        <v>10.55</v>
      </c>
      <c r="AM148" s="91">
        <v>10.53</v>
      </c>
      <c r="AN148" s="91">
        <v>2.88</v>
      </c>
      <c r="AO148" s="91">
        <v>1.33</v>
      </c>
      <c r="AP148" s="91">
        <v>0.27</v>
      </c>
      <c r="AQ148" s="91">
        <v>10.41</v>
      </c>
      <c r="AR148" s="91">
        <v>-7.0000000000000007E-2</v>
      </c>
      <c r="AS148" s="91">
        <v>2.93</v>
      </c>
      <c r="AT148" s="91"/>
      <c r="AU148" s="91">
        <v>0.51</v>
      </c>
      <c r="AV148" s="91" t="s">
        <v>148</v>
      </c>
      <c r="AW148" s="97" t="s">
        <v>566</v>
      </c>
      <c r="AX148" s="256">
        <f>P+ER</f>
        <v>10.41</v>
      </c>
      <c r="AY148" s="256">
        <f>P*0.375*MC</f>
        <v>1.9909125000000001</v>
      </c>
      <c r="AZ148" s="275">
        <f>IF(C148="",0,(0.5*(_ML1*LPM)+0.5*(_ML1*HB)+0.66*(P*PR)+0.66*(_ML2*RDM)+0.66*(E*ER))*VLOOKUP(BATT,'Look Ups'!$U$3:$V$4,2,0))</f>
        <v>23.603254000000003</v>
      </c>
      <c r="BA148" s="98"/>
      <c r="BB148" s="99"/>
      <c r="BC148" s="83">
        <v>8.93</v>
      </c>
      <c r="BD148" s="91">
        <v>2.08</v>
      </c>
      <c r="BE148" s="91">
        <v>2.2999999999999998</v>
      </c>
      <c r="BF148" s="91">
        <v>7.4999999999999997E-2</v>
      </c>
      <c r="BG148" s="91">
        <v>8.1300000000000008</v>
      </c>
      <c r="BH148" s="91"/>
      <c r="BI148" s="91"/>
      <c r="BJ148" s="91">
        <v>-7.0000000000000007E-2</v>
      </c>
      <c r="BK148" s="91">
        <v>0.06</v>
      </c>
      <c r="BL148" s="97" t="s">
        <v>567</v>
      </c>
      <c r="BM148" s="275">
        <f>(0.5*LL*LPG)+(0.5*_LG1*HG)+(0.66*LL*LLRG)+(0.66*FG*FRG)+(IF((HG&gt;0),(0.66*_LG2*LRG),(0.66*_LG1*LRG)))</f>
        <v>9.3790720000000007</v>
      </c>
      <c r="BN148" s="282"/>
      <c r="BO148" s="283"/>
      <c r="BP148" s="284"/>
      <c r="BQ148" s="284"/>
      <c r="BR148" s="283"/>
      <c r="BS148" s="284"/>
      <c r="BT148" s="284"/>
      <c r="BU148" s="280">
        <f>(0.5*LLS*LPS)+(0.66*LLS*LLRS)+(0.66*LS*LRS)+(0.66*FS*FRS)</f>
        <v>0</v>
      </c>
      <c r="BV148" s="285"/>
      <c r="BW148" s="283"/>
      <c r="BX148" s="283"/>
      <c r="BY148" s="283"/>
      <c r="BZ148" s="283"/>
      <c r="CA148" s="283"/>
      <c r="CB148" s="283"/>
      <c r="CC148" s="275">
        <f>(0.5*LLD*LPD)+(0.66*LLD*LLRD)+(0.66*LCHD*LRD)+(0.66*FD*FRD)</f>
        <v>0</v>
      </c>
      <c r="CD148" s="98">
        <v>6.19</v>
      </c>
      <c r="CE148" s="91">
        <v>11.59</v>
      </c>
      <c r="CF148" s="91">
        <v>10.220000000000001</v>
      </c>
      <c r="CG148" s="91">
        <v>5.37</v>
      </c>
      <c r="CH148" s="266">
        <f>IF(SF&gt;0,SMG/SF*100,"")</f>
        <v>86.752827140549272</v>
      </c>
      <c r="CI148" s="283"/>
      <c r="CJ148" s="280">
        <f>SF*(_SL1+_SL2)/4+(SMG-SF/2)*(_SL1+_SL2)/3</f>
        <v>50.290225000000007</v>
      </c>
      <c r="CK148" s="83">
        <v>6.73</v>
      </c>
      <c r="CL148" s="91">
        <v>11.32</v>
      </c>
      <c r="CM148" s="91">
        <v>10.32</v>
      </c>
      <c r="CN148" s="91">
        <v>4.18</v>
      </c>
      <c r="CO148" s="256">
        <f>IF(SCRF&gt;0,SCRMG/SCRF*100,"")</f>
        <v>62.109955423476961</v>
      </c>
      <c r="CP148" s="283"/>
      <c r="CQ148" s="256">
        <f>SCRF*(SCRL1+SCRL2)/4+(SCRMG-SCRF/2)*(SCRL1+SCRL2)/3</f>
        <v>42.288166666666669</v>
      </c>
      <c r="CR148" s="256" t="str">
        <f>IF(CO148&lt;'Look Ups'!$AC$4,"Yes","No")</f>
        <v>No</v>
      </c>
      <c r="CS148" s="267">
        <f>IF(CR148="Yes",MIN(150,('Look Ups'!$AC$4-PSCR)/('Look Ups'!$AC$4-'Look Ups'!$AC$3)*100),0)</f>
        <v>0</v>
      </c>
      <c r="CT148" s="83"/>
      <c r="CU148" s="91"/>
      <c r="CV148" s="91"/>
      <c r="CW148" s="91"/>
      <c r="CX148" s="256" t="str">
        <f>IF(USCRF&gt;0,USCRMG/USCRF*100,"")</f>
        <v/>
      </c>
      <c r="CY148" s="293">
        <f>IF(PUSCR&lt;'Look Ups'!$AC$4,MIN(150,('Look Ups'!$AC$4-PUSCR)/('Look Ups'!$AC$4-'Look Ups'!$AC$3)*100),0)</f>
        <v>0</v>
      </c>
      <c r="CZ148" s="275">
        <f>IF(PUSCR&lt;'Look Ups'!$AC$4,USCRF*(USCRL1+USCRL2)/4+(USCRMG-USCRF/2)*(USCRL1+USCRL2)/3,0)</f>
        <v>0</v>
      </c>
      <c r="DA148" s="294">
        <f>IF(ZVAL=1,1,IF(LPM&gt;0,0.64*((AM+MAM)/(E+(MC/2))^2)^0.3,0))</f>
        <v>1</v>
      </c>
      <c r="DB148" s="256">
        <f>0.65*((AM+MAM)*EFM)+0.35*((AM+MAM)*ZVAL)</f>
        <v>25.594166500000007</v>
      </c>
      <c r="DC148" s="256">
        <f>IF(ZVAL=1,1,IF(LPG&gt;0,0.72*(AG/(LPG^2))^0.3,0))</f>
        <v>1</v>
      </c>
      <c r="DD148" s="256">
        <f>AG*EFG</f>
        <v>9.3790720000000007</v>
      </c>
      <c r="DE148" s="256">
        <f>IF(AZ148&gt;0,'Look Ups'!$S$3,0)</f>
        <v>1</v>
      </c>
      <c r="DF148" s="256">
        <f>IF(LPS&gt;0,0.72*(AS/(LPS^2))^0.3,0)</f>
        <v>0</v>
      </c>
      <c r="DG148" s="256">
        <f>EFS*AS</f>
        <v>0</v>
      </c>
      <c r="DH148" s="256">
        <f>IF(LPD&gt;0,0.72*(AD/(LPD^2))^0.3,0)</f>
        <v>0</v>
      </c>
      <c r="DI148" s="280">
        <f>IF((AD-AG)&gt;0,0.3*(AD-AG)*EFD,0)</f>
        <v>0</v>
      </c>
      <c r="DJ148" s="295" t="str">
        <f>IF((SCRF=0),"-",IF(AND(MSASC&gt;AG,SCRMG&lt;(0.75*SCRF)),"valid","ERROR"))</f>
        <v>valid</v>
      </c>
      <c r="DK148" s="266" t="str">
        <f>IF((SF=0),"-",IF((SMG&lt;(0.75*SF)),"ERROR",IF(AND(MSASP&gt;MSASC,MSASP&gt;AG,MSASP&gt;=0.36*RSAM),"valid","Small")))</f>
        <v>valid</v>
      </c>
      <c r="DL148" s="267" t="str">
        <f>IF(C148="","",CONCATENATE("MG",IF(FLSCR="valid","Scr",""),IF(FLSPI="valid","SP","")))</f>
        <v>MGScrSP</v>
      </c>
      <c r="DM148" s="294">
        <f>RSAM+RSAG</f>
        <v>34.973238500000008</v>
      </c>
      <c r="DN148" s="256">
        <f>IF(MSASP&gt;0,'Look Ups'!$AI$4*(ZVAL*MSASP-RSAG),0)</f>
        <v>12.273345900000001</v>
      </c>
      <c r="DO148" s="256">
        <f>IF(AND(MSASC&gt;0,(MSASC&gt;=0.36*RSAM)),('Look Ups'!$AI$3*(ZVAL*MSASC-RSAG)),(0))</f>
        <v>11.518183133333332</v>
      </c>
      <c r="DP148" s="256">
        <f>IF(MSASP&gt;0,'Look Ups'!$AI$5*(ZVAL*MSASP-RSAG),0)</f>
        <v>11.455122840000003</v>
      </c>
      <c r="DQ148" s="256">
        <f>IF(MSASC&gt;0,'Look Ups'!$AI$6*(MSASC-RSAG),0)</f>
        <v>2.303636626666667</v>
      </c>
      <c r="DR148" s="280">
        <f>'Look Ups'!$AI$7*MAX(IF(MSAUSC&gt;0,EUSC/100*(MSAUSC-RSAG),0),IF(CR148="Yes",ELSC/100*(MSASC-RSAG),0))</f>
        <v>0</v>
      </c>
      <c r="DS148" s="280">
        <f>0.36*RSAM</f>
        <v>9.2138999400000028</v>
      </c>
      <c r="DT148" s="296">
        <f>_xlfn.IFS(SPC="MG",RAMG+DS148,SPC="MGScr",RAMG+RASCO,SPC="MGSp",RAMG+RASPO,SPC="MGScrSp",RAMG+RASPSC+RASCR)+RAUSC+RSAST+RSAD+RSAMZ+RSA2M</f>
        <v>48.731997966666675</v>
      </c>
      <c r="DU148" s="63"/>
    </row>
    <row r="149" spans="1:125" ht="15.6" customHeight="1" x14ac:dyDescent="0.3">
      <c r="A149" s="4"/>
      <c r="B149" s="64"/>
      <c r="C149" s="84" t="s">
        <v>568</v>
      </c>
      <c r="D149" s="112" t="s">
        <v>569</v>
      </c>
      <c r="E149" s="113" t="s">
        <v>529</v>
      </c>
      <c r="F149" s="252">
        <f ca="1">IF(RW=0,0,ROUND(DLF*0.93*RL^LF*RSA^0.4/RW^0.325,3))</f>
        <v>0.79800000000000004</v>
      </c>
      <c r="G149" s="252" t="str">
        <f ca="1">IF(OR(FLSCR="ERROR",FLSPI="ERROR"),"No",IF(TODAY()-'Look Ups'!$D$4*365&gt;I149,"WP Applied","Yes"))</f>
        <v>Yes</v>
      </c>
      <c r="H149" s="254" t="str">
        <f>IF(SPC="","",CONCATENATE("Main-Genoa",IF(FLSCR="valid",IF(OR(CR149="Yes",MSAUSC&gt;0),"-Screacher (Upwind)","-Screacher"),""),IF(FLSPI="valid","-Spinnaker",""),IF(RSAMZ&gt;0,"-Mizzen",""),IF(RSA2M&gt;0,"-Second Main",""),IF(AS&gt;0,"-Staysail",""),IF(AD&gt;0,"-Drifter","")))</f>
        <v>Main-Genoa-Screacher-Spinnaker</v>
      </c>
      <c r="I149" s="126">
        <v>44783</v>
      </c>
      <c r="J149" s="126">
        <v>44784</v>
      </c>
      <c r="K149" s="127" t="s">
        <v>163</v>
      </c>
      <c r="L149" s="127" t="s">
        <v>164</v>
      </c>
      <c r="M149" s="210"/>
      <c r="N149" s="140" t="s">
        <v>165</v>
      </c>
      <c r="O149" s="140" t="s">
        <v>569</v>
      </c>
      <c r="P149" s="141"/>
      <c r="Q149" s="130">
        <v>11.84</v>
      </c>
      <c r="R149" s="127"/>
      <c r="S149" s="257">
        <f>IF((LOAA&gt;LOA),0.025*LOAA,0.025*LOA)</f>
        <v>0.29599999999999999</v>
      </c>
      <c r="T149" s="131"/>
      <c r="U149" s="131">
        <v>0</v>
      </c>
      <c r="V149" s="260">
        <f>IF((_xlfn.SINGLE(LOAA)&gt;_xlfn.SINGLE(LOA)),_xlfn.SINGLE(LOAA),_xlfn.SINGLE(LOA)-_xlfn.SINGLE(FOC)-_xlfn.SINGLE(AOC))</f>
        <v>11.84</v>
      </c>
      <c r="W149" s="261">
        <f>IF(RL&gt;0,IF(RL&gt;'Look Ups'!Y$7,'Look Ups'!Y$8,('Look Ups'!Y$3*RL^3+'Look Ups'!Y$4*RL^2+'Look Ups'!Y$5*RL+'Look Ups'!Y$6)),0)</f>
        <v>0.29989347763200003</v>
      </c>
      <c r="X149" s="132">
        <v>6322</v>
      </c>
      <c r="Y149" s="264">
        <f ca="1">IF(WDATE&lt;(TODAY()-'Look Ups'!$D$4*365),-WM*'Look Ups'!$D$5/100,0)</f>
        <v>0</v>
      </c>
      <c r="Z149" s="133"/>
      <c r="AA149" s="133"/>
      <c r="AB149" s="224"/>
      <c r="AC149" s="271">
        <f>WCD+NC*'Look Ups'!$AF$3</f>
        <v>0</v>
      </c>
      <c r="AD149" s="271">
        <f ca="1">IF(RL&lt;'Look Ups'!AM$3,'Look Ups'!AM$4,IF(RL&gt;'Look Ups'!AM$5,'Look Ups'!AM$6,(RL-'Look Ups'!AM$3)/('Look Ups'!AM$5-'Look Ups'!AM$3)*('Look Ups'!AM$6-'Look Ups'!AM$4)+'Look Ups'!AM$4))/100*WS</f>
        <v>714.96072727272701</v>
      </c>
      <c r="AE149" s="271">
        <f ca="1">WM+WP+WE</f>
        <v>6322</v>
      </c>
      <c r="AF149" s="272">
        <f ca="1">_xlfn.SINGLE(WS)+IF(_xlfn.SINGLE(TCW)&gt;=_xlfn.SINGLE(CWA),_xlfn.SINGLE(CWA),_xlfn.SINGLE(TCW))</f>
        <v>6322</v>
      </c>
      <c r="AG149" s="94" t="s">
        <v>145</v>
      </c>
      <c r="AH149" s="95" t="s">
        <v>146</v>
      </c>
      <c r="AI149" s="96" t="s">
        <v>147</v>
      </c>
      <c r="AJ149" s="218"/>
      <c r="AK149" s="274">
        <f>IF(C149="",0,VLOOKUP(AG149,'Look Ups'!$F$3:$G$6,2,0)*VLOOKUP(AH149,'Look Ups'!$I$3:$J$5,2,0)*VLOOKUP(AI149,'Look Ups'!$L$3:$M$7,2,0)*IF(AJ149="",1,VLOOKUP(AJ149,'Look Ups'!$O$3:$P$4,2,0)))</f>
        <v>1</v>
      </c>
      <c r="AL149" s="136">
        <v>16.28</v>
      </c>
      <c r="AM149" s="131">
        <v>15.95</v>
      </c>
      <c r="AN149" s="131">
        <v>4.5199999999999996</v>
      </c>
      <c r="AO149" s="131">
        <v>1.87</v>
      </c>
      <c r="AP149" s="131">
        <v>0.6</v>
      </c>
      <c r="AQ149" s="131">
        <v>15.58</v>
      </c>
      <c r="AR149" s="131">
        <v>0.19</v>
      </c>
      <c r="AS149" s="131">
        <v>4.7300000000000004</v>
      </c>
      <c r="AT149" s="131">
        <v>0.4</v>
      </c>
      <c r="AU149" s="131"/>
      <c r="AV149" s="131" t="s">
        <v>148</v>
      </c>
      <c r="AW149" s="128"/>
      <c r="AX149" s="257">
        <f>P+ER</f>
        <v>15.98</v>
      </c>
      <c r="AY149" s="257">
        <f>P*0.375*MC</f>
        <v>0</v>
      </c>
      <c r="AZ149" s="276">
        <f>IF(C149="",0,(0.5*(_ML1*LPM)+0.5*(_ML1*HB)+0.66*(P*PR)+0.66*(_ML2*RDM)+0.66*(E*ER))*VLOOKUP(BATT,'Look Ups'!$U$3:$V$4,2,0))</f>
        <v>61.533252000000005</v>
      </c>
      <c r="BA149" s="137"/>
      <c r="BB149" s="138"/>
      <c r="BC149" s="227">
        <v>15.77</v>
      </c>
      <c r="BD149" s="228">
        <v>4.42</v>
      </c>
      <c r="BE149" s="228">
        <v>4.92</v>
      </c>
      <c r="BF149" s="228">
        <v>0.16</v>
      </c>
      <c r="BG149" s="228">
        <v>14.25</v>
      </c>
      <c r="BH149" s="228"/>
      <c r="BI149" s="228"/>
      <c r="BJ149" s="228">
        <v>-0.05</v>
      </c>
      <c r="BK149" s="228">
        <v>0.3</v>
      </c>
      <c r="BL149" s="128"/>
      <c r="BM149" s="276">
        <f>(0.5*LL*LPG)+(0.5*_LG1*HG)+(0.66*LL*LLRG)+(0.66*FG*FRG)+(IF((HG&gt;0),(0.66*_LG2*LRG),(0.66*_LG1*LRG)))</f>
        <v>38.023461999999995</v>
      </c>
      <c r="BN149" s="287"/>
      <c r="BO149" s="288"/>
      <c r="BP149" s="289"/>
      <c r="BQ149" s="289"/>
      <c r="BR149" s="288"/>
      <c r="BS149" s="289"/>
      <c r="BT149" s="289"/>
      <c r="BU149" s="290">
        <f>(0.5*LLS*LPS)+(0.66*LLS*LLRS)+(0.66*LS*LRS)+(0.66*FS*FRS)</f>
        <v>0</v>
      </c>
      <c r="BV149" s="285"/>
      <c r="BW149" s="283"/>
      <c r="BX149" s="283"/>
      <c r="BY149" s="283"/>
      <c r="BZ149" s="283"/>
      <c r="CA149" s="283"/>
      <c r="CB149" s="283"/>
      <c r="CC149" s="276">
        <f>(0.5*LLD*LPD)+(0.66*LLD*LLRD)+(0.66*LCHD*LRD)+(0.66*FD*FRD)</f>
        <v>0</v>
      </c>
      <c r="CD149" s="137">
        <v>11</v>
      </c>
      <c r="CE149" s="131">
        <v>18.600000000000001</v>
      </c>
      <c r="CF149" s="131">
        <v>16.670000000000002</v>
      </c>
      <c r="CG149" s="131">
        <v>9.2799999999999994</v>
      </c>
      <c r="CH149" s="271">
        <f>IF(SF&gt;0,SMG/SF*100,"")</f>
        <v>84.36363636363636</v>
      </c>
      <c r="CI149" s="292"/>
      <c r="CJ149" s="290">
        <f>SF*(_SL1+_SL2)/4+(SMG-SF/2)*(_SL1+_SL2)/3</f>
        <v>141.43270000000001</v>
      </c>
      <c r="CK149" s="227">
        <v>8.8000000000000007</v>
      </c>
      <c r="CL149" s="228">
        <v>16.84</v>
      </c>
      <c r="CM149" s="228">
        <v>14.35</v>
      </c>
      <c r="CN149" s="228">
        <v>4.99</v>
      </c>
      <c r="CO149" s="257">
        <f>IF(SCRF&gt;0,SCRMG/SCRF*100,"")</f>
        <v>56.704545454545453</v>
      </c>
      <c r="CP149" s="292"/>
      <c r="CQ149" s="257">
        <f>SCRF*(SCRL1+SCRL2)/4+(SCRMG-SCRF/2)*(SCRL1+SCRL2)/3</f>
        <v>74.75203333333333</v>
      </c>
      <c r="CR149" s="257" t="str">
        <f>IF(CO149&lt;'Look Ups'!$AC$4,"Yes","No")</f>
        <v>No</v>
      </c>
      <c r="CS149" s="272">
        <f>IF(CR149="Yes",MIN(150,('Look Ups'!$AC$4-PSCR)/('Look Ups'!$AC$4-'Look Ups'!$AC$3)*100),0)</f>
        <v>0</v>
      </c>
      <c r="CT149" s="227"/>
      <c r="CU149" s="228"/>
      <c r="CV149" s="228"/>
      <c r="CW149" s="228"/>
      <c r="CX149" s="257" t="str">
        <f>IF(USCRF&gt;0,USCRMG/USCRF*100,"")</f>
        <v/>
      </c>
      <c r="CY149" s="297">
        <f>IF(PUSCR&lt;'Look Ups'!$AC$4,MIN(150,('Look Ups'!$AC$4-PUSCR)/('Look Ups'!$AC$4-'Look Ups'!$AC$3)*100),0)</f>
        <v>0</v>
      </c>
      <c r="CZ149" s="276">
        <f>IF(PUSCR&lt;'Look Ups'!$AC$4,USCRF*(USCRL1+USCRL2)/4+(USCRMG-USCRF/2)*(USCRL1+USCRL2)/3,0)</f>
        <v>0</v>
      </c>
      <c r="DA149" s="298">
        <f>IF(ZVAL=1,1,IF(LPM&gt;0,0.64*((AM+MAM)/(E+(MC/2))^2)^0.3,0))</f>
        <v>1</v>
      </c>
      <c r="DB149" s="257">
        <f>0.65*((AM+MAM)*EFM)+0.35*((AM+MAM)*ZVAL)</f>
        <v>61.533252000000005</v>
      </c>
      <c r="DC149" s="257">
        <f>IF(ZVAL=1,1,IF(LPG&gt;0,0.72*(AG/(LPG^2))^0.3,0))</f>
        <v>1</v>
      </c>
      <c r="DD149" s="257">
        <f>AG*EFG</f>
        <v>38.023461999999995</v>
      </c>
      <c r="DE149" s="257">
        <f>IF(AZ149&gt;0,'Look Ups'!$S$3,0)</f>
        <v>1</v>
      </c>
      <c r="DF149" s="257">
        <f>IF(LPS&gt;0,0.72*(AS/(LPS^2))^0.3,0)</f>
        <v>0</v>
      </c>
      <c r="DG149" s="257">
        <f>EFS*AS</f>
        <v>0</v>
      </c>
      <c r="DH149" s="257">
        <f>IF(LPD&gt;0,0.72*(AD/(LPD^2))^0.3,0)</f>
        <v>0</v>
      </c>
      <c r="DI149" s="290">
        <f>IF((AD-AG)&gt;0,0.3*(AD-AG)*EFD,0)</f>
        <v>0</v>
      </c>
      <c r="DJ149" s="299" t="str">
        <f>IF((SCRF=0),"-",IF(AND(MSASC&gt;AG,SCRMG&lt;(0.75*SCRF)),"valid","ERROR"))</f>
        <v>valid</v>
      </c>
      <c r="DK149" s="271" t="str">
        <f>IF((SF=0),"-",IF((SMG&lt;(0.75*SF)),"ERROR",IF(AND(MSASP&gt;MSASC,MSASP&gt;AG,MSASP&gt;=0.36*RSAM),"valid","Small")))</f>
        <v>valid</v>
      </c>
      <c r="DL149" s="272" t="str">
        <f>IF(C149="","",CONCATENATE("MG",IF(FLSCR="valid","Scr",""),IF(FLSPI="valid","SP","")))</f>
        <v>MGScrSP</v>
      </c>
      <c r="DM149" s="298">
        <f>RSAM+RSAG</f>
        <v>99.556713999999999</v>
      </c>
      <c r="DN149" s="257">
        <f>IF(MSASP&gt;0,'Look Ups'!$AI$4*(ZVAL*MSASP-RSAG),0)</f>
        <v>31.022771400000003</v>
      </c>
      <c r="DO149" s="257">
        <f>IF(AND(MSASC&gt;0,(MSASC&gt;=0.36*RSAM)),('Look Ups'!$AI$3*(ZVAL*MSASC-RSAG)),(0))</f>
        <v>12.854999966666666</v>
      </c>
      <c r="DP149" s="257">
        <f>IF(MSASP&gt;0,'Look Ups'!$AI$5*(ZVAL*MSASP-RSAG),0)</f>
        <v>28.954586640000006</v>
      </c>
      <c r="DQ149" s="257">
        <f>IF(MSASC&gt;0,'Look Ups'!$AI$6*(MSASC-RSAG),0)</f>
        <v>2.5709999933333338</v>
      </c>
      <c r="DR149" s="290">
        <f>'Look Ups'!$AI$7*MAX(IF(MSAUSC&gt;0,EUSC/100*(MSAUSC-RSAG),0),IF(CR149="Yes",ELSC/100*(MSASC-RSAG),0))</f>
        <v>0</v>
      </c>
      <c r="DS149" s="290">
        <f>0.36*RSAM</f>
        <v>22.151970720000001</v>
      </c>
      <c r="DT149" s="300">
        <f>_xlfn.IFS(SPC="MG",RAMG+DS149,SPC="MGScr",RAMG+RASCO,SPC="MGSp",RAMG+RASPO,SPC="MGScrSp",RAMG+RASPSC+RASCR)+RAUSC+RSAST+RSAD+RSAMZ+RSA2M</f>
        <v>131.08230063333335</v>
      </c>
      <c r="DU149" s="14"/>
    </row>
    <row r="150" spans="1:125" ht="15.6" customHeight="1" x14ac:dyDescent="0.3">
      <c r="A150" s="4"/>
      <c r="B150" s="84"/>
      <c r="C150" s="84" t="s">
        <v>570</v>
      </c>
      <c r="D150" s="112" t="s">
        <v>347</v>
      </c>
      <c r="E150" s="113" t="s">
        <v>571</v>
      </c>
      <c r="F150" s="252">
        <f ca="1">IF(RW=0,0,ROUND(DLF*0.93*RL^LF*RSA^0.4/RW^0.325,3))</f>
        <v>0.90100000000000002</v>
      </c>
      <c r="G150" s="252" t="str">
        <f ca="1">IF(OR(FLSCR="ERROR",FLSPI="ERROR"),"No",IF(TODAY()-'Look Ups'!$D$4*365&gt;I150,"WP Applied","Yes"))</f>
        <v>WP Applied</v>
      </c>
      <c r="H150" s="254" t="str">
        <f>IF(SPC="","",CONCATENATE("Main-Genoa",IF(FLSCR="valid",IF(OR(CR150="Yes",MSAUSC&gt;0),"-Screacher (Upwind)","-Screacher"),""),IF(FLSPI="valid","-Spinnaker",""),IF(RSAMZ&gt;0,"-Mizzen",""),IF(RSA2M&gt;0,"-Second Main",""),IF(AS&gt;0,"-Staysail",""),IF(AD&gt;0,"-Drifter","")))</f>
        <v>Main-Genoa-Screacher-Spinnaker</v>
      </c>
      <c r="I150" s="126">
        <v>40236</v>
      </c>
      <c r="J150" s="126">
        <v>42672</v>
      </c>
      <c r="K150" s="127" t="s">
        <v>365</v>
      </c>
      <c r="L150" s="127" t="s">
        <v>142</v>
      </c>
      <c r="M150" s="210"/>
      <c r="N150" s="140" t="s">
        <v>143</v>
      </c>
      <c r="O150" s="140" t="s">
        <v>154</v>
      </c>
      <c r="P150" s="141"/>
      <c r="Q150" s="130">
        <v>7.3</v>
      </c>
      <c r="R150" s="127"/>
      <c r="S150" s="257">
        <f>IF((LOAA&gt;LOA),0.025*LOAA,0.025*LOA)</f>
        <v>0.1825</v>
      </c>
      <c r="T150" s="131">
        <v>0.01</v>
      </c>
      <c r="U150" s="131">
        <v>0</v>
      </c>
      <c r="V150" s="260">
        <f>IF((_xlfn.SINGLE(LOAA)&gt;_xlfn.SINGLE(LOA)),_xlfn.SINGLE(LOAA),_xlfn.SINGLE(LOA)-_xlfn.SINGLE(FOC)-_xlfn.SINGLE(AOC))</f>
        <v>7.29</v>
      </c>
      <c r="W150" s="261">
        <f>IF(RL&gt;0,IF(RL&gt;'Look Ups'!Y$7,'Look Ups'!Y$8,('Look Ups'!Y$3*RL^3+'Look Ups'!Y$4*RL^2+'Look Ups'!Y$5*RL+'Look Ups'!Y$6)),0)</f>
        <v>0.29103813613700003</v>
      </c>
      <c r="X150" s="132">
        <v>980</v>
      </c>
      <c r="Y150" s="264">
        <f ca="1">IF(WDATE&lt;(TODAY()-'Look Ups'!$D$4*365),-WM*'Look Ups'!$D$5/100,0)</f>
        <v>-147</v>
      </c>
      <c r="Z150" s="133"/>
      <c r="AA150" s="133"/>
      <c r="AB150" s="224"/>
      <c r="AC150" s="271">
        <f>WCD+NC*'Look Ups'!$AF$3</f>
        <v>0</v>
      </c>
      <c r="AD150" s="271">
        <f ca="1">IF(RL&lt;'Look Ups'!AM$3,'Look Ups'!AM$4,IF(RL&gt;'Look Ups'!AM$5,'Look Ups'!AM$6,(RL-'Look Ups'!AM$3)/('Look Ups'!AM$5-'Look Ups'!AM$3)*('Look Ups'!AM$6-'Look Ups'!AM$4)+'Look Ups'!AM$4))/100*WS</f>
        <v>232.02836363636362</v>
      </c>
      <c r="AE150" s="271">
        <f ca="1">WM+WP+WE</f>
        <v>833</v>
      </c>
      <c r="AF150" s="272">
        <f ca="1">_xlfn.SINGLE(WS)+IF(_xlfn.SINGLE(TCW)&gt;=_xlfn.SINGLE(CWA),_xlfn.SINGLE(CWA),_xlfn.SINGLE(TCW))</f>
        <v>833</v>
      </c>
      <c r="AG150" s="134" t="s">
        <v>145</v>
      </c>
      <c r="AH150" s="135" t="s">
        <v>146</v>
      </c>
      <c r="AI150" s="124" t="s">
        <v>147</v>
      </c>
      <c r="AJ150" s="219"/>
      <c r="AK150" s="274">
        <f>IF(C150="",0,VLOOKUP(AG150,'Look Ups'!$F$3:$G$6,2,0)*VLOOKUP(AH150,'Look Ups'!$I$3:$J$5,2,0)*VLOOKUP(AI150,'Look Ups'!$L$3:$M$7,2,0)*IF(AJ150="",1,VLOOKUP(AJ150,'Look Ups'!$O$3:$P$4,2,0)))</f>
        <v>1</v>
      </c>
      <c r="AL150" s="136">
        <v>10</v>
      </c>
      <c r="AM150" s="131">
        <v>9.84</v>
      </c>
      <c r="AN150" s="131">
        <v>3.09</v>
      </c>
      <c r="AO150" s="131">
        <v>1.37</v>
      </c>
      <c r="AP150" s="131">
        <v>0.27</v>
      </c>
      <c r="AQ150" s="131">
        <v>9.6999999999999993</v>
      </c>
      <c r="AR150" s="131">
        <v>0.1</v>
      </c>
      <c r="AS150" s="131">
        <v>3.24</v>
      </c>
      <c r="AT150" s="131">
        <v>0.04</v>
      </c>
      <c r="AU150" s="131">
        <v>0.49</v>
      </c>
      <c r="AV150" s="131" t="s">
        <v>148</v>
      </c>
      <c r="AW150" s="128">
        <v>0</v>
      </c>
      <c r="AX150" s="257">
        <f>P+ER</f>
        <v>9.7399999999999984</v>
      </c>
      <c r="AY150" s="257">
        <f>P*0.375*MC</f>
        <v>1.7823749999999998</v>
      </c>
      <c r="AZ150" s="276">
        <f>IF(C150="",0,(0.5*(_ML1*LPM)+0.5*(_ML1*HB)+0.66*(P*PR)+0.66*(_ML2*RDM)+0.66*(E*ER))*VLOOKUP(BATT,'Look Ups'!$U$3:$V$4,2,0))</f>
        <v>24.779224000000003</v>
      </c>
      <c r="BA150" s="137"/>
      <c r="BB150" s="138"/>
      <c r="BC150" s="227">
        <v>8.7899999999999991</v>
      </c>
      <c r="BD150" s="228">
        <v>2.84</v>
      </c>
      <c r="BE150" s="228">
        <v>3.13</v>
      </c>
      <c r="BF150" s="228">
        <v>0.1</v>
      </c>
      <c r="BG150" s="228">
        <v>7.96</v>
      </c>
      <c r="BH150" s="228"/>
      <c r="BI150" s="228"/>
      <c r="BJ150" s="228">
        <v>-0.06</v>
      </c>
      <c r="BK150" s="228">
        <v>0</v>
      </c>
      <c r="BL150" s="128">
        <v>0</v>
      </c>
      <c r="BM150" s="276">
        <f>(0.5*LL*LPG)+(0.5*_LG1*HG)+(0.66*LL*LLRG)+(0.66*FG*FRG)+(IF((HG&gt;0),(0.66*_LG2*LRG),(0.66*_LG1*LRG)))</f>
        <v>12.373163999999999</v>
      </c>
      <c r="BN150" s="287"/>
      <c r="BO150" s="288"/>
      <c r="BP150" s="289"/>
      <c r="BQ150" s="289"/>
      <c r="BR150" s="288"/>
      <c r="BS150" s="289"/>
      <c r="BT150" s="289"/>
      <c r="BU150" s="290">
        <f>(0.5*LLS*LPS)+(0.66*LLS*LLRS)+(0.66*LS*LRS)+(0.66*FS*FRS)</f>
        <v>0</v>
      </c>
      <c r="BV150" s="285"/>
      <c r="BW150" s="283"/>
      <c r="BX150" s="283"/>
      <c r="BY150" s="283"/>
      <c r="BZ150" s="283"/>
      <c r="CA150" s="283"/>
      <c r="CB150" s="283"/>
      <c r="CC150" s="276">
        <f>(0.5*LLD*LPD)+(0.66*LLD*LLRD)+(0.66*LCHD*LRD)+(0.66*FD*FRD)</f>
        <v>0</v>
      </c>
      <c r="CD150" s="137">
        <v>7.28</v>
      </c>
      <c r="CE150" s="131">
        <v>10.85</v>
      </c>
      <c r="CF150" s="131">
        <v>10.33</v>
      </c>
      <c r="CG150" s="131">
        <v>5.72</v>
      </c>
      <c r="CH150" s="271">
        <f>IF(SF&gt;0,SMG/SF*100,"")</f>
        <v>78.571428571428569</v>
      </c>
      <c r="CI150" s="292"/>
      <c r="CJ150" s="290">
        <f>SF*(_SL1+_SL2)/4+(SMG-SF/2)*(_SL1+_SL2)/3</f>
        <v>53.232399999999998</v>
      </c>
      <c r="CK150" s="227">
        <v>5.57</v>
      </c>
      <c r="CL150" s="228">
        <v>10.08</v>
      </c>
      <c r="CM150" s="228">
        <v>8.6</v>
      </c>
      <c r="CN150" s="228">
        <v>2.92</v>
      </c>
      <c r="CO150" s="257">
        <f>IF(SCRF&gt;0,SCRMG/SCRF*100,"")</f>
        <v>52.423698384201082</v>
      </c>
      <c r="CP150" s="292"/>
      <c r="CQ150" s="257">
        <f>SCRF*(SCRL1+SCRL2)/4+(SCRMG-SCRF/2)*(SCRL1+SCRL2)/3</f>
        <v>26.852499999999999</v>
      </c>
      <c r="CR150" s="257" t="str">
        <f>IF(CO150&lt;'Look Ups'!$AC$4,"Yes","No")</f>
        <v>No</v>
      </c>
      <c r="CS150" s="272">
        <f>IF(CR150="Yes",MIN(150,('Look Ups'!$AC$4-PSCR)/('Look Ups'!$AC$4-'Look Ups'!$AC$3)*100),0)</f>
        <v>0</v>
      </c>
      <c r="CT150" s="227"/>
      <c r="CU150" s="228"/>
      <c r="CV150" s="228"/>
      <c r="CW150" s="228"/>
      <c r="CX150" s="257" t="str">
        <f>IF(USCRF&gt;0,USCRMG/USCRF*100,"")</f>
        <v/>
      </c>
      <c r="CY150" s="297">
        <f>IF(PUSCR&lt;'Look Ups'!$AC$4,MIN(150,('Look Ups'!$AC$4-PUSCR)/('Look Ups'!$AC$4-'Look Ups'!$AC$3)*100),0)</f>
        <v>0</v>
      </c>
      <c r="CZ150" s="276">
        <f>IF(PUSCR&lt;'Look Ups'!$AC$4,USCRF*(USCRL1+USCRL2)/4+(USCRMG-USCRF/2)*(USCRL1+USCRL2)/3,0)</f>
        <v>0</v>
      </c>
      <c r="DA150" s="298">
        <f>IF(ZVAL=1,1,IF(LPM&gt;0,0.64*((AM+MAM)/(E+(MC/2))^2)^0.3,0))</f>
        <v>1</v>
      </c>
      <c r="DB150" s="257">
        <f>0.65*((AM+MAM)*EFM)+0.35*((AM+MAM)*ZVAL)</f>
        <v>26.561599000000001</v>
      </c>
      <c r="DC150" s="257">
        <f>IF(ZVAL=1,1,IF(LPG&gt;0,0.72*(AG/(LPG^2))^0.3,0))</f>
        <v>1</v>
      </c>
      <c r="DD150" s="257">
        <f>AG*EFG</f>
        <v>12.373163999999999</v>
      </c>
      <c r="DE150" s="257">
        <f>IF(AZ150&gt;0,'Look Ups'!$S$3,0)</f>
        <v>1</v>
      </c>
      <c r="DF150" s="257">
        <f>IF(LPS&gt;0,0.72*(AS/(LPS^2))^0.3,0)</f>
        <v>0</v>
      </c>
      <c r="DG150" s="257">
        <f>EFS*AS</f>
        <v>0</v>
      </c>
      <c r="DH150" s="257">
        <f>IF(LPD&gt;0,0.72*(AD/(LPD^2))^0.3,0)</f>
        <v>0</v>
      </c>
      <c r="DI150" s="290">
        <f>IF((AD-AG)&gt;0,0.3*(AD-AG)*EFD,0)</f>
        <v>0</v>
      </c>
      <c r="DJ150" s="299" t="str">
        <f>IF((SCRF=0),"-",IF(AND(MSASC&gt;AG,SCRMG&lt;(0.75*SCRF)),"valid","ERROR"))</f>
        <v>valid</v>
      </c>
      <c r="DK150" s="271" t="str">
        <f>IF((SF=0),"-",IF((SMG&lt;(0.75*SF)),"ERROR",IF(AND(MSASP&gt;MSASC,MSASP&gt;AG,MSASP&gt;=0.36*RSAM),"valid","Small")))</f>
        <v>valid</v>
      </c>
      <c r="DL150" s="272" t="str">
        <f>IF(C150="","",CONCATENATE("MG",IF(FLSCR="valid","Scr",""),IF(FLSPI="valid","SP","")))</f>
        <v>MGScrSP</v>
      </c>
      <c r="DM150" s="298">
        <f>RSAM+RSAG</f>
        <v>38.934763000000004</v>
      </c>
      <c r="DN150" s="257">
        <f>IF(MSASP&gt;0,'Look Ups'!$AI$4*(ZVAL*MSASP-RSAG),0)</f>
        <v>12.257770799999998</v>
      </c>
      <c r="DO150" s="257">
        <f>IF(AND(MSASC&gt;0,(MSASC&gt;=0.36*RSAM)),('Look Ups'!$AI$3*(ZVAL*MSASC-RSAG)),(0))</f>
        <v>5.0677675999999998</v>
      </c>
      <c r="DP150" s="257">
        <f>IF(MSASP&gt;0,'Look Ups'!$AI$5*(ZVAL*MSASP-RSAG),0)</f>
        <v>11.440586079999999</v>
      </c>
      <c r="DQ150" s="257">
        <f>IF(MSASC&gt;0,'Look Ups'!$AI$6*(MSASC-RSAG),0)</f>
        <v>1.0135535200000001</v>
      </c>
      <c r="DR150" s="290">
        <f>'Look Ups'!$AI$7*MAX(IF(MSAUSC&gt;0,EUSC/100*(MSAUSC-RSAG),0),IF(CR150="Yes",ELSC/100*(MSASC-RSAG),0))</f>
        <v>0</v>
      </c>
      <c r="DS150" s="290">
        <f>0.36*RSAM</f>
        <v>9.5621756399999995</v>
      </c>
      <c r="DT150" s="300">
        <f>_xlfn.IFS(SPC="MG",RAMG+DS150,SPC="MGScr",RAMG+RASCO,SPC="MGSp",RAMG+RASPO,SPC="MGScrSp",RAMG+RASPSC+RASCR)+RAUSC+RSAST+RSAD+RSAMZ+RSA2M</f>
        <v>51.388902600000009</v>
      </c>
      <c r="DU150" s="14"/>
    </row>
    <row r="151" spans="1:125" ht="15.6" customHeight="1" x14ac:dyDescent="0.3">
      <c r="A151" s="4"/>
      <c r="B151" s="84"/>
      <c r="C151" s="64" t="s">
        <v>1077</v>
      </c>
      <c r="D151" s="85" t="s">
        <v>1003</v>
      </c>
      <c r="E151" s="86" t="s">
        <v>1211</v>
      </c>
      <c r="F151" s="252">
        <f ca="1">IF(RW=0,0,ROUND(DLF*0.93*RL^LF*RSA^0.4/RW^0.325,3))</f>
        <v>1.0249999999999999</v>
      </c>
      <c r="G151" s="252" t="str">
        <f ca="1">IF(OR(FLSCR="ERROR",FLSPI="ERROR"),"No",IF(TODAY()-'Look Ups'!$D$4*365&gt;I151,"WP Applied","Yes"))</f>
        <v>Yes</v>
      </c>
      <c r="H151" s="254" t="str">
        <f>IF(SPC="","",CONCATENATE("Main-Genoa",IF(FLSCR="valid",IF(OR(CR151="Yes",MSAUSC&gt;0),"-Screacher (Upwind)","-Screacher"),""),IF(FLSPI="valid","-Spinnaker",""),IF(RSAMZ&gt;0,"-Mizzen",""),IF(RSA2M&gt;0,"-Second Main",""),IF(AS&gt;0,"-Staysail",""),IF(AD&gt;0,"-Drifter","")))</f>
        <v>Main-Genoa-Screacher-Spinnaker</v>
      </c>
      <c r="I151" s="1">
        <v>45737</v>
      </c>
      <c r="J151" s="1">
        <v>45751</v>
      </c>
      <c r="K151" s="87" t="s">
        <v>1212</v>
      </c>
      <c r="L151" s="87" t="s">
        <v>164</v>
      </c>
      <c r="M151" s="209"/>
      <c r="N151" s="88" t="s">
        <v>165</v>
      </c>
      <c r="O151" s="88"/>
      <c r="P151" s="100"/>
      <c r="Q151" s="90">
        <v>12.57</v>
      </c>
      <c r="R151" s="87"/>
      <c r="S151" s="256">
        <f>IF((LOAA&gt;LOA),0.025*LOAA,0.025*LOA)</f>
        <v>0.31425000000000003</v>
      </c>
      <c r="T151" s="91"/>
      <c r="U151" s="91"/>
      <c r="V151" s="258">
        <f>IF((_xlfn.SINGLE(LOAA)&gt;_xlfn.SINGLE(LOA)),_xlfn.SINGLE(LOAA),_xlfn.SINGLE(LOA)-_xlfn.SINGLE(FOC)-_xlfn.SINGLE(AOC))</f>
        <v>12.57</v>
      </c>
      <c r="W151" s="259">
        <f>IF(RL&gt;0,IF(RL&gt;'Look Ups'!Y$7,'Look Ups'!Y$8,('Look Ups'!Y$3*RL^3+'Look Ups'!Y$4*RL^2+'Look Ups'!Y$5*RL+'Look Ups'!Y$6)),0)</f>
        <v>0.3</v>
      </c>
      <c r="X151" s="92">
        <v>3550</v>
      </c>
      <c r="Y151" s="263">
        <f ca="1">IF(WDATE&lt;(TODAY()-'Look Ups'!$D$4*365),-WM*'Look Ups'!$D$5/100,0)</f>
        <v>0</v>
      </c>
      <c r="Z151" s="103"/>
      <c r="AA151" s="109">
        <v>565</v>
      </c>
      <c r="AB151" s="363">
        <v>6</v>
      </c>
      <c r="AC151" s="265">
        <f>WCD+NC*'Look Ups'!$AF$3</f>
        <v>589</v>
      </c>
      <c r="AD151" s="265">
        <f ca="1">IF(RL&lt;'Look Ups'!AM$3,'Look Ups'!AM$4,IF(RL&gt;'Look Ups'!AM$5,'Look Ups'!AM$6,(RL-'Look Ups'!AM$3)/('Look Ups'!AM$5-'Look Ups'!AM$3)*('Look Ups'!AM$6-'Look Ups'!AM$4)+'Look Ups'!AM$4))/100*WS</f>
        <v>355</v>
      </c>
      <c r="AE151" s="269">
        <f ca="1">WM+WP+WE</f>
        <v>3550</v>
      </c>
      <c r="AF151" s="267">
        <f ca="1">_xlfn.SINGLE(WS)+IF(_xlfn.SINGLE(TCW)&gt;=_xlfn.SINGLE(CWA),_xlfn.SINGLE(CWA),_xlfn.SINGLE(TCW))</f>
        <v>3905</v>
      </c>
      <c r="AG151" s="94" t="s">
        <v>145</v>
      </c>
      <c r="AH151" s="95" t="s">
        <v>146</v>
      </c>
      <c r="AI151" s="96" t="s">
        <v>147</v>
      </c>
      <c r="AJ151" s="218"/>
      <c r="AK151" s="273">
        <f>IF(C151="",0,VLOOKUP(AG151,'Look Ups'!$F$3:$G$6,2,0)*VLOOKUP(AH151,'Look Ups'!$I$3:$J$5,2,0)*VLOOKUP(AI151,'Look Ups'!$L$3:$M$7,2,0)*IF(AJ151="",1,VLOOKUP(AJ151,'Look Ups'!$O$3:$P$4,2,0)))</f>
        <v>1</v>
      </c>
      <c r="AL151" s="83">
        <v>17.899999999999999</v>
      </c>
      <c r="AM151" s="91">
        <v>17.72</v>
      </c>
      <c r="AN151" s="91">
        <v>4.9800000000000004</v>
      </c>
      <c r="AO151" s="91">
        <v>1.78</v>
      </c>
      <c r="AP151" s="91">
        <v>1.3</v>
      </c>
      <c r="AQ151" s="91">
        <v>17.600000000000001</v>
      </c>
      <c r="AR151" s="91">
        <v>0.2</v>
      </c>
      <c r="AS151" s="91">
        <v>5.05</v>
      </c>
      <c r="AT151" s="91">
        <v>7.0000000000000007E-2</v>
      </c>
      <c r="AU151" s="91">
        <v>0.65500000000000003</v>
      </c>
      <c r="AV151" s="91" t="s">
        <v>1169</v>
      </c>
      <c r="AW151" s="97"/>
      <c r="AX151" s="256">
        <f>P+ER</f>
        <v>17.670000000000002</v>
      </c>
      <c r="AY151" s="256">
        <f>P*0.375*MC</f>
        <v>4.3230000000000004</v>
      </c>
      <c r="AZ151" s="275">
        <f>IF(C151="",0,(0.5*(_ML1*LPM)+0.5*(_ML1*HB)+0.66*(P*PR)+0.66*(_ML2*RDM)+0.66*(E*ER))*VLOOKUP(BATT,'Look Ups'!$U$3:$V$4,2,0))</f>
        <v>78.262270000000001</v>
      </c>
      <c r="BA151" s="98"/>
      <c r="BB151" s="99"/>
      <c r="BC151" s="83">
        <v>14.23</v>
      </c>
      <c r="BD151" s="91">
        <v>3.28</v>
      </c>
      <c r="BE151" s="91">
        <v>3.64</v>
      </c>
      <c r="BF151" s="91">
        <v>0.27</v>
      </c>
      <c r="BG151" s="91">
        <v>13.24</v>
      </c>
      <c r="BH151" s="91">
        <v>13.2</v>
      </c>
      <c r="BI151" s="91">
        <v>0.26</v>
      </c>
      <c r="BJ151" s="91">
        <v>0.18</v>
      </c>
      <c r="BK151" s="91">
        <v>0</v>
      </c>
      <c r="BL151" s="97"/>
      <c r="BM151" s="275">
        <f>(0.5*LL*LPG)+(0.5*_LG1*HG)+(0.66*LL*LLRG)+(0.66*FG*FRG)+(IF((HG&gt;0),(0.66*_LG2*LRG),(0.66*_LG1*LRG)))</f>
        <v>27.275207999999999</v>
      </c>
      <c r="BN151" s="282"/>
      <c r="BO151" s="283"/>
      <c r="BP151" s="284"/>
      <c r="BQ151" s="284"/>
      <c r="BR151" s="283"/>
      <c r="BS151" s="284"/>
      <c r="BT151" s="284"/>
      <c r="BU151" s="280">
        <f>(0.5*LLS*LPS)+(0.66*LLS*LLRS)+(0.66*LS*LRS)+(0.66*FS*FRS)</f>
        <v>0</v>
      </c>
      <c r="BV151" s="285"/>
      <c r="BW151" s="283"/>
      <c r="BX151" s="283"/>
      <c r="BY151" s="283"/>
      <c r="BZ151" s="283"/>
      <c r="CA151" s="283"/>
      <c r="CB151" s="283"/>
      <c r="CC151" s="275">
        <f>(0.5*LLD*LPD)+(0.66*LLD*LLRD)+(0.66*LCHD*LRD)+(0.66*FD*FRD)</f>
        <v>0</v>
      </c>
      <c r="CD151" s="98">
        <v>11.6</v>
      </c>
      <c r="CE151" s="91">
        <v>20.51</v>
      </c>
      <c r="CF151" s="91">
        <v>17.260000000000002</v>
      </c>
      <c r="CG151" s="91">
        <v>11.6</v>
      </c>
      <c r="CH151" s="266">
        <f>IF(SF&gt;0,SMG/SF*100,"")</f>
        <v>100</v>
      </c>
      <c r="CI151" s="283"/>
      <c r="CJ151" s="280">
        <f>SF*(_SL1+_SL2)/4+(SMG-SF/2)*(_SL1+_SL2)/3</f>
        <v>182.55500000000001</v>
      </c>
      <c r="CK151" s="83">
        <v>9.92</v>
      </c>
      <c r="CL151" s="91">
        <v>17.3</v>
      </c>
      <c r="CM151" s="91">
        <v>15.2</v>
      </c>
      <c r="CN151" s="91">
        <v>6.38</v>
      </c>
      <c r="CO151" s="256">
        <f>IF(SCRF&gt;0,SCRMG/SCRF*100,"")</f>
        <v>64.314516129032256</v>
      </c>
      <c r="CP151" s="283"/>
      <c r="CQ151" s="256">
        <f>SCRF*(SCRL1+SCRL2)/4+(SCRMG-SCRF/2)*(SCRL1+SCRL2)/3</f>
        <v>95.98333333333332</v>
      </c>
      <c r="CR151" s="256" t="str">
        <f>IF(CO151&lt;'Look Ups'!$AC$4,"Yes","No")</f>
        <v>No</v>
      </c>
      <c r="CS151" s="293">
        <f>IF(CR151="Yes",MIN(150,('Look Ups'!$AC$4-PSCR)/('Look Ups'!$AC$4-'Look Ups'!$AC$3)*100),0)</f>
        <v>0</v>
      </c>
      <c r="CT151" s="83"/>
      <c r="CU151" s="91"/>
      <c r="CV151" s="91"/>
      <c r="CW151" s="91"/>
      <c r="CX151" s="256" t="str">
        <f>IF(USCRF&gt;0,USCRMG/USCRF*100,"")</f>
        <v/>
      </c>
      <c r="CY151" s="293">
        <f>IF(PUSCR&lt;'Look Ups'!$AC$4,MIN(150,('Look Ups'!$AC$4-PUSCR)/('Look Ups'!$AC$4-'Look Ups'!$AC$3)*100),0)</f>
        <v>0</v>
      </c>
      <c r="CZ151" s="275">
        <f>IF(PUSCR&lt;'Look Ups'!$AC$4,USCRF*(USCRL1+USCRL2)/4+(USCRMG-USCRF/2)*(USCRL1+USCRL2)/3,0)</f>
        <v>0</v>
      </c>
      <c r="DA151" s="294">
        <f>IF(ZVAL=1,1,IF(LPM&gt;0,0.64*((AM+MAM)/(E+(MC/2))^2)^0.3,0))</f>
        <v>1</v>
      </c>
      <c r="DB151" s="256">
        <f>0.65*((AM+MAM)*EFM)+0.35*((AM+MAM)*ZVAL)</f>
        <v>82.585270000000008</v>
      </c>
      <c r="DC151" s="256">
        <f>IF(ZVAL=1,1,IF(LPG&gt;0,0.72*(AG/(LPG^2))^0.3,0))</f>
        <v>1</v>
      </c>
      <c r="DD151" s="256">
        <f>AG*EFG</f>
        <v>27.275207999999999</v>
      </c>
      <c r="DE151" s="256">
        <f>IF(AZ151&gt;0,'Look Ups'!$S$3,0)</f>
        <v>1</v>
      </c>
      <c r="DF151" s="256">
        <f>IF(LPS&gt;0,0.72*(AS/(LPS^2))^0.3,0)</f>
        <v>0</v>
      </c>
      <c r="DG151" s="256">
        <f>EFS*AS</f>
        <v>0</v>
      </c>
      <c r="DH151" s="256">
        <f>IF(LPD&gt;0,0.72*(AD/(LPD^2))^0.3,0)</f>
        <v>0</v>
      </c>
      <c r="DI151" s="280">
        <f>IF((AD-AG)&gt;0,0.3*(AD-AG)*EFD,0)</f>
        <v>0</v>
      </c>
      <c r="DJ151" s="295" t="str">
        <f>IF((SCRF=0),"-",IF(AND(MSASC&gt;AG,SCRMG&lt;(0.75*SCRF)),"valid","ERROR"))</f>
        <v>valid</v>
      </c>
      <c r="DK151" s="266" t="str">
        <f>IF((SF=0),"-",IF((SMG&lt;(0.75*SF)),"ERROR",IF(AND(MSASP&gt;MSASC,MSASP&gt;AG,MSASP&gt;=0.36*RSAM),"valid","Small")))</f>
        <v>valid</v>
      </c>
      <c r="DL151" s="267" t="str">
        <f>IF(C151="","",CONCATENATE("MG",IF(FLSCR="valid","Scr",""),IF(FLSPI="valid","SP","")))</f>
        <v>MGScrSP</v>
      </c>
      <c r="DM151" s="294">
        <f>RSAM+RSAG</f>
        <v>109.860478</v>
      </c>
      <c r="DN151" s="256">
        <f>IF(MSASP&gt;0,'Look Ups'!$AI$4*(ZVAL*MSASP-RSAG),0)</f>
        <v>46.583937600000006</v>
      </c>
      <c r="DO151" s="256">
        <f>IF(AND(MSASC&gt;0,(MSASC&gt;=0.36*RSAM)),('Look Ups'!$AI$3*(ZVAL*MSASC-RSAG)),(0))</f>
        <v>24.047843866666664</v>
      </c>
      <c r="DP151" s="256">
        <f>IF(MSASP&gt;0,'Look Ups'!$AI$5*(ZVAL*MSASP-RSAG),0)</f>
        <v>43.478341760000006</v>
      </c>
      <c r="DQ151" s="256">
        <f>IF(MSASC&gt;0,'Look Ups'!$AI$6*(MSASC-RSAG),0)</f>
        <v>4.809568773333333</v>
      </c>
      <c r="DR151" s="280">
        <f>'Look Ups'!$AI$7*MAX(IF(MSAUSC&gt;0,EUSC/100*(MSAUSC-RSAG),0),IF(CR151="Yes",ELSC/100*(MSASC-RSAG),0))</f>
        <v>0</v>
      </c>
      <c r="DS151" s="280">
        <f>0.36*RSAM</f>
        <v>29.730697200000002</v>
      </c>
      <c r="DT151" s="296">
        <f>_xlfn.IFS(SPC="MG",RAMG+DS151,SPC="MGScr",RAMG+RASCO,SPC="MGSp",RAMG+RASPO,SPC="MGScrSp",RAMG+RASPSC+RASCR)+RAUSC+RSAST+RSAD+RSAMZ+RSA2M</f>
        <v>158.14838853333333</v>
      </c>
      <c r="DU151" s="14"/>
    </row>
    <row r="152" spans="1:125" ht="15.6" customHeight="1" x14ac:dyDescent="0.3">
      <c r="A152" s="4"/>
      <c r="B152" s="84"/>
      <c r="C152" s="64" t="s">
        <v>572</v>
      </c>
      <c r="D152" s="85" t="s">
        <v>573</v>
      </c>
      <c r="E152" s="86" t="s">
        <v>345</v>
      </c>
      <c r="F152" s="252">
        <f ca="1">IF(RW=0,0,ROUND(DLF*0.93*RL^LF*RSA^0.4/RW^0.325,3))</f>
        <v>0.96399999999999997</v>
      </c>
      <c r="G152" s="252" t="str">
        <f ca="1">IF(OR(FLSCR="ERROR",FLSPI="ERROR"),"No",IF(TODAY()-'Look Ups'!$D$4*365&gt;I152,"WP Applied","Yes"))</f>
        <v>WP Applied</v>
      </c>
      <c r="H152" s="254" t="str">
        <f>IF(SPC="","",CONCATENATE("Main-Genoa",IF(FLSCR="valid",IF(OR(CR152="Yes",MSAUSC&gt;0),"-Screacher (Upwind)","-Screacher"),""),IF(FLSPI="valid","-Spinnaker",""),IF(RSAMZ&gt;0,"-Mizzen",""),IF(RSA2M&gt;0,"-Second Main",""),IF(AS&gt;0,"-Staysail",""),IF(AD&gt;0,"-Drifter","")))</f>
        <v>Main-Genoa-Screacher-Spinnaker</v>
      </c>
      <c r="I152" s="1"/>
      <c r="J152" s="1">
        <v>42486</v>
      </c>
      <c r="K152" s="87" t="s">
        <v>391</v>
      </c>
      <c r="L152" s="87" t="s">
        <v>159</v>
      </c>
      <c r="M152" s="209" t="s">
        <v>574</v>
      </c>
      <c r="N152" s="88" t="s">
        <v>165</v>
      </c>
      <c r="O152" s="88"/>
      <c r="P152" s="100">
        <v>8.5</v>
      </c>
      <c r="Q152" s="90">
        <v>18.309999999999999</v>
      </c>
      <c r="R152" s="87"/>
      <c r="S152" s="256">
        <f>IF((LOAA&gt;LOA),0.025*LOAA,0.025*LOA)</f>
        <v>0.45774999999999999</v>
      </c>
      <c r="T152" s="91"/>
      <c r="U152" s="91"/>
      <c r="V152" s="258">
        <f>IF((_xlfn.SINGLE(LOAA)&gt;_xlfn.SINGLE(LOA)),_xlfn.SINGLE(LOAA),_xlfn.SINGLE(LOA)-_xlfn.SINGLE(FOC)-_xlfn.SINGLE(AOC))</f>
        <v>18.309999999999999</v>
      </c>
      <c r="W152" s="259">
        <f>IF(RL&gt;0,IF(RL&gt;'Look Ups'!Y$7,'Look Ups'!Y$8,('Look Ups'!Y$3*RL^3+'Look Ups'!Y$4*RL^2+'Look Ups'!Y$5*RL+'Look Ups'!Y$6)),0)</f>
        <v>0.3</v>
      </c>
      <c r="X152" s="92">
        <v>13180</v>
      </c>
      <c r="Y152" s="263">
        <f ca="1">IF(WDATE&lt;(TODAY()-'Look Ups'!$D$4*365),-WM*'Look Ups'!$D$5/100,0)</f>
        <v>-1977</v>
      </c>
      <c r="Z152" s="103"/>
      <c r="AA152" s="109"/>
      <c r="AB152" s="363"/>
      <c r="AC152" s="265">
        <f>WCD+NC*'Look Ups'!$AF$3</f>
        <v>0</v>
      </c>
      <c r="AD152" s="265">
        <f ca="1">IF(RL&lt;'Look Ups'!AM$3,'Look Ups'!AM$4,IF(RL&gt;'Look Ups'!AM$5,'Look Ups'!AM$6,(RL-'Look Ups'!AM$3)/('Look Ups'!AM$5-'Look Ups'!AM$3)*('Look Ups'!AM$6-'Look Ups'!AM$4)+'Look Ups'!AM$4))/100*WS</f>
        <v>1120.3</v>
      </c>
      <c r="AE152" s="269">
        <f ca="1">WM+WP+WE</f>
        <v>11203</v>
      </c>
      <c r="AF152" s="267">
        <f ca="1">_xlfn.SINGLE(WS)+IF(_xlfn.SINGLE(TCW)&gt;=_xlfn.SINGLE(CWA),_xlfn.SINGLE(CWA),_xlfn.SINGLE(TCW))</f>
        <v>11203</v>
      </c>
      <c r="AG152" s="94" t="s">
        <v>145</v>
      </c>
      <c r="AH152" s="95" t="s">
        <v>146</v>
      </c>
      <c r="AI152" s="96" t="s">
        <v>177</v>
      </c>
      <c r="AJ152" s="218"/>
      <c r="AK152" s="273">
        <f>IF(C152="",0,VLOOKUP(AG152,'Look Ups'!$F$3:$G$6,2,0)*VLOOKUP(AH152,'Look Ups'!$I$3:$J$5,2,0)*VLOOKUP(AI152,'Look Ups'!$L$3:$M$7,2,0)*IF(AJ152="",1,VLOOKUP(AJ152,'Look Ups'!$O$3:$P$4,2,0)))</f>
        <v>0.99</v>
      </c>
      <c r="AL152" s="83">
        <v>22.76</v>
      </c>
      <c r="AM152" s="91">
        <v>22.22</v>
      </c>
      <c r="AN152" s="91">
        <v>6.69</v>
      </c>
      <c r="AO152" s="91">
        <v>2.35</v>
      </c>
      <c r="AP152" s="91">
        <v>0.85</v>
      </c>
      <c r="AQ152" s="91">
        <v>21.88</v>
      </c>
      <c r="AR152" s="91">
        <v>0.22500000000000001</v>
      </c>
      <c r="AS152" s="91">
        <v>7.27</v>
      </c>
      <c r="AT152" s="91">
        <v>8.5000000000000006E-2</v>
      </c>
      <c r="AU152" s="91"/>
      <c r="AV152" s="91" t="s">
        <v>148</v>
      </c>
      <c r="AW152" s="97"/>
      <c r="AX152" s="256">
        <f>P+ER</f>
        <v>21.965</v>
      </c>
      <c r="AY152" s="256">
        <f>P*0.375*MC</f>
        <v>0</v>
      </c>
      <c r="AZ152" s="275">
        <f>IF(C152="",0,(0.5*(_ML1*LPM)+0.5*(_ML1*HB)+0.66*(P*PR)+0.66*(_ML2*RDM)+0.66*(E*ER))*VLOOKUP(BATT,'Look Ups'!$U$3:$V$4,2,0))</f>
        <v>118.997647</v>
      </c>
      <c r="BA152" s="98"/>
      <c r="BB152" s="99"/>
      <c r="BC152" s="83">
        <v>21.3</v>
      </c>
      <c r="BD152" s="91">
        <v>5.35</v>
      </c>
      <c r="BE152" s="91">
        <v>5.59</v>
      </c>
      <c r="BF152" s="91">
        <v>0.18</v>
      </c>
      <c r="BG152" s="91">
        <v>20.45</v>
      </c>
      <c r="BH152" s="91"/>
      <c r="BI152" s="91"/>
      <c r="BJ152" s="91">
        <v>0.26</v>
      </c>
      <c r="BK152" s="91">
        <v>0.13</v>
      </c>
      <c r="BL152" s="97"/>
      <c r="BM152" s="275">
        <f>(0.5*LL*LPG)+(0.5*_LG1*HG)+(0.66*LL*LLRG)+(0.66*FG*FRG)+(IF((HG&gt;0),(0.66*_LG2*LRG),(0.66*_LG1*LRG)))</f>
        <v>62.978351999999994</v>
      </c>
      <c r="BN152" s="282"/>
      <c r="BO152" s="283"/>
      <c r="BP152" s="284"/>
      <c r="BQ152" s="284"/>
      <c r="BR152" s="283"/>
      <c r="BS152" s="284"/>
      <c r="BT152" s="284"/>
      <c r="BU152" s="280">
        <f>(0.5*LLS*LPS)+(0.66*LLS*LLRS)+(0.66*LS*LRS)+(0.66*FS*FRS)</f>
        <v>0</v>
      </c>
      <c r="BV152" s="285"/>
      <c r="BW152" s="283"/>
      <c r="BX152" s="283"/>
      <c r="BY152" s="283"/>
      <c r="BZ152" s="283"/>
      <c r="CA152" s="283"/>
      <c r="CB152" s="283"/>
      <c r="CC152" s="275">
        <f>(0.5*LLD*LPD)+(0.66*LLD*LLRD)+(0.66*LCHD*LRD)+(0.66*FD*FRD)</f>
        <v>0</v>
      </c>
      <c r="CD152" s="98">
        <v>14.75</v>
      </c>
      <c r="CE152" s="91">
        <v>24.33</v>
      </c>
      <c r="CF152" s="91">
        <v>25.06</v>
      </c>
      <c r="CG152" s="91">
        <v>12.2</v>
      </c>
      <c r="CH152" s="266">
        <f>IF(SF&gt;0,SMG/SF*100,"")</f>
        <v>82.711864406779654</v>
      </c>
      <c r="CI152" s="283"/>
      <c r="CJ152" s="280">
        <f>SF*(_SL1+_SL2)/4+(SMG-SF/2)*(_SL1+_SL2)/3</f>
        <v>261.56120833333335</v>
      </c>
      <c r="CK152" s="83">
        <v>13.75</v>
      </c>
      <c r="CL152" s="91">
        <v>23.26</v>
      </c>
      <c r="CM152" s="91">
        <v>24.78</v>
      </c>
      <c r="CN152" s="91">
        <v>9.2100000000000009</v>
      </c>
      <c r="CO152" s="256">
        <f>IF(SCRF&gt;0,SCRMG/SCRF*100,"")</f>
        <v>66.981818181818184</v>
      </c>
      <c r="CP152" s="283"/>
      <c r="CQ152" s="256">
        <f>SCRF*(SCRL1+SCRL2)/4+(SCRMG-SCRF/2)*(SCRL1+SCRL2)/3</f>
        <v>202.52863333333337</v>
      </c>
      <c r="CR152" s="256" t="str">
        <f>IF(CO152&lt;'Look Ups'!$AC$4,"Yes","No")</f>
        <v>No</v>
      </c>
      <c r="CS152" s="293">
        <f>IF(CR152="Yes",MIN(150,('Look Ups'!$AC$4-PSCR)/('Look Ups'!$AC$4-'Look Ups'!$AC$3)*100),0)</f>
        <v>0</v>
      </c>
      <c r="CT152" s="83"/>
      <c r="CU152" s="91"/>
      <c r="CV152" s="91"/>
      <c r="CW152" s="91"/>
      <c r="CX152" s="256" t="str">
        <f>IF(USCRF&gt;0,USCRMG/USCRF*100,"")</f>
        <v/>
      </c>
      <c r="CY152" s="293">
        <f>IF(PUSCR&lt;'Look Ups'!$AC$4,MIN(150,('Look Ups'!$AC$4-PUSCR)/('Look Ups'!$AC$4-'Look Ups'!$AC$3)*100),0)</f>
        <v>0</v>
      </c>
      <c r="CZ152" s="275">
        <f>IF(PUSCR&lt;'Look Ups'!$AC$4,USCRF*(USCRL1+USCRL2)/4+(USCRMG-USCRF/2)*(USCRL1+USCRL2)/3,0)</f>
        <v>0</v>
      </c>
      <c r="DA152" s="294">
        <f>IF(ZVAL=1,1,IF(LPM&gt;0,0.64*((AM+MAM)/(E+(MC/2))^2)^0.3,0))</f>
        <v>1</v>
      </c>
      <c r="DB152" s="256">
        <f>0.65*((AM+MAM)*EFM)+0.35*((AM+MAM)*ZVAL)</f>
        <v>118.997647</v>
      </c>
      <c r="DC152" s="256">
        <f>IF(ZVAL=1,1,IF(LPG&gt;0,0.72*(AG/(LPG^2))^0.3,0))</f>
        <v>1</v>
      </c>
      <c r="DD152" s="256">
        <f>AG*EFG</f>
        <v>62.978351999999994</v>
      </c>
      <c r="DE152" s="256">
        <f>IF(AZ152&gt;0,'Look Ups'!$S$3,0)</f>
        <v>1</v>
      </c>
      <c r="DF152" s="256">
        <f>IF(LPS&gt;0,0.72*(AS/(LPS^2))^0.3,0)</f>
        <v>0</v>
      </c>
      <c r="DG152" s="256">
        <f>EFS*AS</f>
        <v>0</v>
      </c>
      <c r="DH152" s="256">
        <f>IF(LPD&gt;0,0.72*(AD/(LPD^2))^0.3,0)</f>
        <v>0</v>
      </c>
      <c r="DI152" s="280">
        <f>IF((AD-AG)&gt;0,0.3*(AD-AG)*EFD,0)</f>
        <v>0</v>
      </c>
      <c r="DJ152" s="295" t="str">
        <f>IF((SCRF=0),"-",IF(AND(MSASC&gt;AG,SCRMG&lt;(0.75*SCRF)),"valid","ERROR"))</f>
        <v>valid</v>
      </c>
      <c r="DK152" s="266" t="str">
        <f>IF((SF=0),"-",IF((SMG&lt;(0.75*SF)),"ERROR",IF(AND(MSASP&gt;MSASC,MSASP&gt;AG,MSASP&gt;=0.36*RSAM),"valid","Small")))</f>
        <v>valid</v>
      </c>
      <c r="DL152" s="267" t="str">
        <f>IF(C152="","",CONCATENATE("MG",IF(FLSCR="valid","Scr",""),IF(FLSPI="valid","SP","")))</f>
        <v>MGScrSP</v>
      </c>
      <c r="DM152" s="294">
        <f>RSAM+RSAG</f>
        <v>181.975999</v>
      </c>
      <c r="DN152" s="256">
        <f>IF(MSASP&gt;0,'Look Ups'!$AI$4*(ZVAL*MSASP-RSAG),0)</f>
        <v>59.5748569</v>
      </c>
      <c r="DO152" s="256">
        <f>IF(AND(MSASC&gt;0,(MSASC&gt;=0.36*RSAM)),('Look Ups'!$AI$3*(ZVAL*MSASC-RSAG)),(0))</f>
        <v>48.842598466666679</v>
      </c>
      <c r="DP152" s="256">
        <f>IF(MSASP&gt;0,'Look Ups'!$AI$5*(ZVAL*MSASP-RSAG),0)</f>
        <v>55.603199773333344</v>
      </c>
      <c r="DQ152" s="256">
        <f>IF(MSASC&gt;0,'Look Ups'!$AI$6*(MSASC-RSAG),0)</f>
        <v>9.7685196933333369</v>
      </c>
      <c r="DR152" s="280">
        <f>'Look Ups'!$AI$7*MAX(IF(MSAUSC&gt;0,EUSC/100*(MSAUSC-RSAG),0),IF(CR152="Yes",ELSC/100*(MSASC-RSAG),0))</f>
        <v>0</v>
      </c>
      <c r="DS152" s="280">
        <f>0.36*RSAM</f>
        <v>42.839152919999997</v>
      </c>
      <c r="DT152" s="296">
        <f>_xlfn.IFS(SPC="MG",RAMG+DS152,SPC="MGScr",RAMG+RASCO,SPC="MGSp",RAMG+RASPO,SPC="MGScrSp",RAMG+RASPSC+RASCR)+RAUSC+RSAST+RSAD+RSAMZ+RSA2M</f>
        <v>247.34771846666669</v>
      </c>
      <c r="DU152" s="14"/>
    </row>
    <row r="153" spans="1:125" ht="15.6" customHeight="1" thickBot="1" x14ac:dyDescent="0.35">
      <c r="A153" s="4"/>
      <c r="B153" s="84"/>
      <c r="C153" s="5"/>
      <c r="D153" s="142"/>
      <c r="E153" s="5"/>
      <c r="F153" s="143"/>
      <c r="G153" s="143"/>
      <c r="H153" s="8"/>
      <c r="I153" s="9"/>
      <c r="J153" s="9"/>
      <c r="K153" s="5"/>
      <c r="L153" s="5"/>
      <c r="M153" s="211"/>
      <c r="N153" s="144"/>
      <c r="O153" s="144"/>
      <c r="P153" s="142"/>
      <c r="Q153" s="5"/>
      <c r="R153" s="5"/>
      <c r="S153" s="12"/>
      <c r="T153" s="145"/>
      <c r="U153" s="145"/>
      <c r="V153" s="146"/>
      <c r="W153" s="147"/>
      <c r="X153" s="13"/>
      <c r="Y153" s="13"/>
      <c r="Z153" s="13"/>
      <c r="AA153" s="13"/>
      <c r="AB153" s="13"/>
      <c r="AC153" s="13"/>
      <c r="AD153" s="13"/>
      <c r="AE153" s="13"/>
      <c r="AF153" s="13"/>
      <c r="AG153" s="8"/>
      <c r="AH153" s="8"/>
      <c r="AI153" s="10"/>
      <c r="AJ153" s="10"/>
      <c r="AK153" s="10"/>
      <c r="AL153" s="12"/>
      <c r="AM153" s="12"/>
      <c r="AN153" s="12"/>
      <c r="AO153" s="12"/>
      <c r="AP153" s="12"/>
      <c r="AQ153" s="12"/>
      <c r="AR153" s="12"/>
      <c r="AS153" s="12"/>
      <c r="AT153" s="12"/>
      <c r="AU153" s="12"/>
      <c r="AV153" s="12"/>
      <c r="AW153" s="11"/>
      <c r="AX153" s="12"/>
      <c r="AY153" s="12"/>
      <c r="AZ153" s="12"/>
      <c r="BA153" s="12"/>
      <c r="BB153" s="12"/>
      <c r="BC153" s="12"/>
      <c r="BD153" s="12"/>
      <c r="BE153" s="12"/>
      <c r="BF153" s="12"/>
      <c r="BG153" s="12"/>
      <c r="BH153" s="12"/>
      <c r="BI153" s="12"/>
      <c r="BJ153" s="12"/>
      <c r="BK153" s="12"/>
      <c r="BL153" s="11"/>
      <c r="BM153" s="12"/>
      <c r="BN153" s="145"/>
      <c r="BO153" s="12"/>
      <c r="BP153" s="5"/>
      <c r="BQ153" s="5"/>
      <c r="BR153" s="12"/>
      <c r="BS153" s="5"/>
      <c r="BT153" s="5"/>
      <c r="BU153" s="12"/>
      <c r="BV153" s="12"/>
      <c r="BW153" s="12"/>
      <c r="BX153" s="12"/>
      <c r="BY153" s="12"/>
      <c r="BZ153" s="12"/>
      <c r="CA153" s="12"/>
      <c r="CB153" s="12"/>
      <c r="CC153" s="12"/>
      <c r="CD153" s="12"/>
      <c r="CE153" s="12"/>
      <c r="CF153" s="12"/>
      <c r="CG153" s="12"/>
      <c r="CH153" s="13"/>
      <c r="CI153" s="12"/>
      <c r="CJ153" s="12"/>
      <c r="CK153" s="12"/>
      <c r="CL153" s="12"/>
      <c r="CM153" s="12"/>
      <c r="CN153" s="12"/>
      <c r="CO153" s="12"/>
      <c r="CP153" s="12"/>
      <c r="CQ153" s="12"/>
      <c r="CR153" s="12"/>
      <c r="CS153" s="12"/>
      <c r="CT153" s="12"/>
      <c r="CU153" s="12"/>
      <c r="CV153" s="12"/>
      <c r="CW153" s="12"/>
      <c r="CX153" s="12"/>
      <c r="CY153" s="12"/>
      <c r="CZ153" s="12"/>
      <c r="DA153" s="12"/>
      <c r="DB153" s="12"/>
      <c r="DC153" s="12"/>
      <c r="DD153" s="12"/>
      <c r="DE153" s="12"/>
      <c r="DF153" s="12"/>
      <c r="DG153" s="12"/>
      <c r="DH153" s="12"/>
      <c r="DI153" s="12"/>
      <c r="DJ153" s="13"/>
      <c r="DK153" s="13"/>
      <c r="DL153" s="13"/>
      <c r="DM153" s="12"/>
      <c r="DN153" s="12"/>
      <c r="DO153" s="12"/>
      <c r="DP153" s="12"/>
      <c r="DQ153" s="12"/>
      <c r="DR153" s="12"/>
      <c r="DS153" s="12"/>
      <c r="DT153" s="12"/>
      <c r="DU153" s="14"/>
    </row>
    <row r="154" spans="1:125" ht="15.6" customHeight="1" thickBot="1" x14ac:dyDescent="0.35">
      <c r="A154" s="4"/>
      <c r="C154" s="402" t="s">
        <v>585</v>
      </c>
      <c r="D154" s="403"/>
      <c r="E154" s="404"/>
      <c r="F154" s="182"/>
      <c r="G154" s="182"/>
      <c r="H154" s="183"/>
      <c r="I154" s="184"/>
      <c r="J154" s="184"/>
      <c r="K154" s="185"/>
      <c r="L154" s="185"/>
      <c r="M154" s="213"/>
      <c r="N154" s="186"/>
      <c r="O154" s="186"/>
      <c r="P154" s="187"/>
      <c r="Q154" s="188"/>
      <c r="R154" s="185"/>
      <c r="S154" s="189"/>
      <c r="T154" s="190"/>
      <c r="U154" s="190"/>
      <c r="V154" s="191"/>
      <c r="W154" s="192"/>
      <c r="X154" s="193"/>
      <c r="Y154" s="205"/>
      <c r="Z154" s="194"/>
      <c r="AA154" s="194"/>
      <c r="AB154" s="194"/>
      <c r="AC154" s="194"/>
      <c r="AD154" s="194"/>
      <c r="AE154" s="194"/>
      <c r="AF154" s="195"/>
      <c r="AG154" s="183"/>
      <c r="AH154" s="196"/>
      <c r="AI154" s="197"/>
      <c r="AJ154" s="198"/>
      <c r="AK154" s="198"/>
      <c r="AL154" s="199"/>
      <c r="AM154" s="189"/>
      <c r="AN154" s="189"/>
      <c r="AO154" s="189"/>
      <c r="AP154" s="189"/>
      <c r="AQ154" s="189"/>
      <c r="AR154" s="189"/>
      <c r="AS154" s="189"/>
      <c r="AT154" s="189"/>
      <c r="AU154" s="189"/>
      <c r="AV154" s="189"/>
      <c r="AW154" s="200"/>
      <c r="AX154" s="189"/>
      <c r="AY154" s="189"/>
      <c r="AZ154" s="201"/>
      <c r="BA154" s="202"/>
      <c r="BB154" s="203"/>
      <c r="BC154" s="199"/>
      <c r="BD154" s="189"/>
      <c r="BE154" s="189"/>
      <c r="BF154" s="189"/>
      <c r="BG154" s="189"/>
      <c r="BH154" s="189"/>
      <c r="BI154" s="189"/>
      <c r="BJ154" s="189"/>
      <c r="BK154" s="189"/>
      <c r="BL154" s="200"/>
      <c r="BM154" s="201"/>
      <c r="BN154" s="204"/>
      <c r="BO154" s="189"/>
      <c r="BP154" s="185"/>
      <c r="BQ154" s="185"/>
      <c r="BR154" s="189"/>
      <c r="BS154" s="185"/>
      <c r="BT154" s="185"/>
      <c r="BU154" s="203"/>
      <c r="BV154" s="199"/>
      <c r="BW154" s="189"/>
      <c r="BX154" s="189"/>
      <c r="BY154" s="189"/>
      <c r="BZ154" s="189"/>
      <c r="CA154" s="189"/>
      <c r="CB154" s="189"/>
      <c r="CC154" s="201"/>
      <c r="CD154" s="202"/>
      <c r="CE154" s="189"/>
      <c r="CF154" s="189"/>
      <c r="CG154" s="189"/>
      <c r="CH154" s="194"/>
      <c r="CI154" s="189"/>
      <c r="CJ154" s="203"/>
      <c r="CK154" s="199"/>
      <c r="CL154" s="189"/>
      <c r="CM154" s="189"/>
      <c r="CN154" s="189"/>
      <c r="CO154" s="189"/>
      <c r="CP154" s="189"/>
      <c r="CQ154" s="201"/>
      <c r="CR154" s="221"/>
      <c r="CS154" s="221"/>
      <c r="CT154" s="199"/>
      <c r="CU154" s="189"/>
      <c r="CV154" s="189"/>
      <c r="CW154" s="189"/>
      <c r="CX154" s="189"/>
      <c r="CY154" s="203"/>
      <c r="CZ154" s="201"/>
      <c r="DA154" s="202"/>
      <c r="DB154" s="189"/>
      <c r="DC154" s="189"/>
      <c r="DD154" s="189"/>
      <c r="DE154" s="189"/>
      <c r="DF154" s="189"/>
      <c r="DG154" s="189"/>
      <c r="DH154" s="189"/>
      <c r="DI154" s="203"/>
      <c r="DJ154" s="193"/>
      <c r="DK154" s="194"/>
      <c r="DL154" s="195"/>
      <c r="DM154" s="202"/>
      <c r="DN154" s="189"/>
      <c r="DO154" s="189"/>
      <c r="DP154" s="189"/>
      <c r="DQ154" s="189"/>
      <c r="DR154" s="203"/>
      <c r="DS154" s="203"/>
      <c r="DT154" s="206"/>
      <c r="DU154" s="14"/>
    </row>
    <row r="155" spans="1:125" ht="15.6" customHeight="1" thickBot="1" x14ac:dyDescent="0.35">
      <c r="A155" s="4"/>
      <c r="B155" s="182"/>
      <c r="C155" s="148" t="s">
        <v>18</v>
      </c>
      <c r="D155" s="149" t="s">
        <v>19</v>
      </c>
      <c r="E155" s="150" t="s">
        <v>20</v>
      </c>
      <c r="F155" s="151" t="s">
        <v>21</v>
      </c>
      <c r="G155" s="151" t="s">
        <v>22</v>
      </c>
      <c r="H155" s="152" t="s">
        <v>23</v>
      </c>
      <c r="I155" s="153" t="s">
        <v>575</v>
      </c>
      <c r="J155" s="154" t="s">
        <v>25</v>
      </c>
      <c r="K155" s="155" t="s">
        <v>26</v>
      </c>
      <c r="L155" s="154" t="s">
        <v>27</v>
      </c>
      <c r="M155" s="212" t="s">
        <v>28</v>
      </c>
      <c r="N155" s="156" t="s">
        <v>29</v>
      </c>
      <c r="O155" s="156" t="s">
        <v>30</v>
      </c>
      <c r="P155" s="157" t="s">
        <v>31</v>
      </c>
      <c r="Q155" s="158" t="s">
        <v>32</v>
      </c>
      <c r="R155" s="159" t="s">
        <v>33</v>
      </c>
      <c r="S155" s="159" t="s">
        <v>34</v>
      </c>
      <c r="T155" s="159" t="s">
        <v>35</v>
      </c>
      <c r="U155" s="159" t="s">
        <v>36</v>
      </c>
      <c r="V155" s="160" t="s">
        <v>37</v>
      </c>
      <c r="W155" s="161" t="s">
        <v>38</v>
      </c>
      <c r="X155" s="162" t="s">
        <v>39</v>
      </c>
      <c r="Y155" s="215" t="s">
        <v>40</v>
      </c>
      <c r="Z155" s="163" t="s">
        <v>41</v>
      </c>
      <c r="AA155" s="164" t="s">
        <v>42</v>
      </c>
      <c r="AB155" s="164" t="s">
        <v>576</v>
      </c>
      <c r="AC155" s="164"/>
      <c r="AD155" s="164"/>
      <c r="AE155" s="163" t="s">
        <v>46</v>
      </c>
      <c r="AF155" s="165" t="s">
        <v>47</v>
      </c>
      <c r="AG155" s="166" t="s">
        <v>48</v>
      </c>
      <c r="AH155" s="160" t="s">
        <v>49</v>
      </c>
      <c r="AI155" s="167" t="s">
        <v>50</v>
      </c>
      <c r="AJ155" s="168"/>
      <c r="AK155" s="168" t="s">
        <v>52</v>
      </c>
      <c r="AL155" s="169" t="s">
        <v>53</v>
      </c>
      <c r="AM155" s="170" t="s">
        <v>54</v>
      </c>
      <c r="AN155" s="170" t="s">
        <v>55</v>
      </c>
      <c r="AO155" s="170" t="s">
        <v>56</v>
      </c>
      <c r="AP155" s="170" t="s">
        <v>57</v>
      </c>
      <c r="AQ155" s="170" t="s">
        <v>58</v>
      </c>
      <c r="AR155" s="170" t="s">
        <v>59</v>
      </c>
      <c r="AS155" s="170" t="s">
        <v>60</v>
      </c>
      <c r="AT155" s="170" t="s">
        <v>61</v>
      </c>
      <c r="AU155" s="170" t="s">
        <v>62</v>
      </c>
      <c r="AV155" s="159" t="s">
        <v>63</v>
      </c>
      <c r="AW155" s="156" t="s">
        <v>64</v>
      </c>
      <c r="AX155" s="170" t="s">
        <v>65</v>
      </c>
      <c r="AY155" s="159" t="s">
        <v>66</v>
      </c>
      <c r="AZ155" s="157" t="s">
        <v>67</v>
      </c>
      <c r="BA155" s="158" t="s">
        <v>68</v>
      </c>
      <c r="BB155" s="171" t="s">
        <v>69</v>
      </c>
      <c r="BC155" s="169" t="s">
        <v>70</v>
      </c>
      <c r="BD155" s="170" t="s">
        <v>71</v>
      </c>
      <c r="BE155" s="170" t="s">
        <v>72</v>
      </c>
      <c r="BF155" s="170" t="s">
        <v>73</v>
      </c>
      <c r="BG155" s="170" t="s">
        <v>74</v>
      </c>
      <c r="BH155" s="170" t="s">
        <v>75</v>
      </c>
      <c r="BI155" s="159" t="s">
        <v>76</v>
      </c>
      <c r="BJ155" s="159" t="s">
        <v>77</v>
      </c>
      <c r="BK155" s="159" t="s">
        <v>78</v>
      </c>
      <c r="BL155" s="156" t="s">
        <v>64</v>
      </c>
      <c r="BM155" s="157" t="s">
        <v>79</v>
      </c>
      <c r="BN155" s="172" t="s">
        <v>80</v>
      </c>
      <c r="BO155" s="170" t="s">
        <v>81</v>
      </c>
      <c r="BP155" s="173" t="s">
        <v>82</v>
      </c>
      <c r="BQ155" s="173" t="s">
        <v>83</v>
      </c>
      <c r="BR155" s="170" t="s">
        <v>84</v>
      </c>
      <c r="BS155" s="173" t="s">
        <v>85</v>
      </c>
      <c r="BT155" s="173" t="s">
        <v>86</v>
      </c>
      <c r="BU155" s="171" t="s">
        <v>577</v>
      </c>
      <c r="BV155" s="169" t="s">
        <v>88</v>
      </c>
      <c r="BW155" s="170" t="s">
        <v>89</v>
      </c>
      <c r="BX155" s="170" t="s">
        <v>90</v>
      </c>
      <c r="BY155" s="170" t="s">
        <v>91</v>
      </c>
      <c r="BZ155" s="170" t="s">
        <v>92</v>
      </c>
      <c r="CA155" s="170" t="s">
        <v>93</v>
      </c>
      <c r="CB155" s="170" t="s">
        <v>94</v>
      </c>
      <c r="CC155" s="157" t="s">
        <v>95</v>
      </c>
      <c r="CD155" s="174" t="s">
        <v>96</v>
      </c>
      <c r="CE155" s="170" t="s">
        <v>97</v>
      </c>
      <c r="CF155" s="170" t="s">
        <v>98</v>
      </c>
      <c r="CG155" s="170" t="s">
        <v>99</v>
      </c>
      <c r="CH155" s="159" t="s">
        <v>100</v>
      </c>
      <c r="CI155" s="159" t="s">
        <v>101</v>
      </c>
      <c r="CJ155" s="171" t="s">
        <v>102</v>
      </c>
      <c r="CK155" s="169" t="s">
        <v>103</v>
      </c>
      <c r="CL155" s="170" t="s">
        <v>578</v>
      </c>
      <c r="CM155" s="170" t="s">
        <v>579</v>
      </c>
      <c r="CN155" s="170" t="s">
        <v>580</v>
      </c>
      <c r="CO155" s="160" t="s">
        <v>581</v>
      </c>
      <c r="CP155" s="159" t="s">
        <v>64</v>
      </c>
      <c r="CQ155" s="175" t="s">
        <v>582</v>
      </c>
      <c r="CR155" s="220"/>
      <c r="CS155" s="220"/>
      <c r="CT155" s="169" t="s">
        <v>103</v>
      </c>
      <c r="CU155" s="170" t="s">
        <v>578</v>
      </c>
      <c r="CV155" s="170" t="s">
        <v>579</v>
      </c>
      <c r="CW155" s="170" t="s">
        <v>580</v>
      </c>
      <c r="CX155" s="160" t="s">
        <v>581</v>
      </c>
      <c r="CY155" s="177"/>
      <c r="CZ155" s="175" t="s">
        <v>582</v>
      </c>
      <c r="DA155" s="176" t="s">
        <v>118</v>
      </c>
      <c r="DB155" s="160" t="s">
        <v>119</v>
      </c>
      <c r="DC155" s="159" t="s">
        <v>120</v>
      </c>
      <c r="DD155" s="159" t="s">
        <v>121</v>
      </c>
      <c r="DE155" s="159" t="s">
        <v>122</v>
      </c>
      <c r="DF155" s="160" t="s">
        <v>123</v>
      </c>
      <c r="DG155" s="159" t="s">
        <v>124</v>
      </c>
      <c r="DH155" s="159" t="s">
        <v>125</v>
      </c>
      <c r="DI155" s="177" t="s">
        <v>126</v>
      </c>
      <c r="DJ155" s="178" t="s">
        <v>583</v>
      </c>
      <c r="DK155" s="159" t="s">
        <v>128</v>
      </c>
      <c r="DL155" s="157" t="s">
        <v>584</v>
      </c>
      <c r="DM155" s="176" t="s">
        <v>130</v>
      </c>
      <c r="DN155" s="160" t="s">
        <v>131</v>
      </c>
      <c r="DO155" s="160" t="s">
        <v>132</v>
      </c>
      <c r="DP155" s="160" t="s">
        <v>133</v>
      </c>
      <c r="DQ155" s="160" t="s">
        <v>134</v>
      </c>
      <c r="DR155" s="177"/>
      <c r="DS155" s="177" t="s">
        <v>136</v>
      </c>
      <c r="DT155" s="179" t="s">
        <v>137</v>
      </c>
      <c r="DU155" s="14"/>
    </row>
    <row r="156" spans="1:125" ht="15.6" customHeight="1" thickBot="1" x14ac:dyDescent="0.35">
      <c r="A156" s="4"/>
      <c r="B156" s="364" t="s">
        <v>17</v>
      </c>
      <c r="C156" s="366" t="s">
        <v>586</v>
      </c>
      <c r="D156" s="367" t="s">
        <v>587</v>
      </c>
      <c r="E156" s="368" t="s">
        <v>588</v>
      </c>
      <c r="F156" s="252">
        <f t="shared" ref="F156:F187" ca="1" si="0">IF(RW=0,0,ROUND(DLF*0.93*RL^LF*RSA^0.4/RW^0.325,3))</f>
        <v>0.747</v>
      </c>
      <c r="G156" s="252" t="str">
        <f ca="1">IF(OR(FLSCR="ERROR",FLSPI="ERROR"),"No",IF(TODAY()-'Look Ups'!$D$4*365&gt;I156,"WP Applied","Yes"))</f>
        <v>WP Applied</v>
      </c>
      <c r="H156" s="255" t="str">
        <f t="shared" ref="H156:H187" si="1">IF(SPC="","",CONCATENATE("Main-Genoa",IF(FLSCR="valid",IF(OR(CR156="Yes",MSAUSC&gt;0),"-Screacher (Upwind)","-Screacher"),""),IF(FLSPI="valid","-Spinnaker",""),IF(RSAMZ&gt;0,"-Mizzen",""),IF(RSA2M&gt;0,"-Second Main",""),IF(AS&gt;0,"-Staysail",""),IF(AD&gt;0,"-Drifter","")))</f>
        <v>Main-Genoa-Spinnaker</v>
      </c>
      <c r="I156" s="234">
        <v>37884</v>
      </c>
      <c r="J156" s="234"/>
      <c r="K156" s="235" t="s">
        <v>218</v>
      </c>
      <c r="L156" s="235" t="s">
        <v>589</v>
      </c>
      <c r="M156" s="236"/>
      <c r="N156" s="237" t="s">
        <v>271</v>
      </c>
      <c r="O156" s="237"/>
      <c r="P156" s="238"/>
      <c r="Q156" s="239">
        <v>6.86</v>
      </c>
      <c r="R156" s="235"/>
      <c r="S156" s="301">
        <f t="shared" ref="S156:S187" si="2">IF((LOAA&gt;LOA),0.025*LOAA,0.025*LOA)</f>
        <v>0.17150000000000001</v>
      </c>
      <c r="T156" s="240">
        <v>0.4</v>
      </c>
      <c r="U156" s="240">
        <v>0</v>
      </c>
      <c r="V156" s="310">
        <f t="shared" ref="V156:V187" si="3">IF((_xlfn.SINGLE(LOAA)&gt;_xlfn.SINGLE(LOA)),_xlfn.SINGLE(LOAA),_xlfn.SINGLE(LOA)-_xlfn.SINGLE(FOC)-_xlfn.SINGLE(AOC))</f>
        <v>6.46</v>
      </c>
      <c r="W156" s="311">
        <f>IF(RL&gt;0,IF(RL&gt;'Look Ups'!Y$7,'Look Ups'!Y$8,('Look Ups'!Y$3*RL^3+'Look Ups'!Y$4*RL^2+'Look Ups'!Y$5*RL+'Look Ups'!Y$6)),0)</f>
        <v>0.28694210248800001</v>
      </c>
      <c r="X156" s="241">
        <v>2131</v>
      </c>
      <c r="Y156" s="312">
        <f ca="1">IF(WDATE&lt;(TODAY()-'Look Ups'!$D$4*365),-WM*'Look Ups'!$D$5/100,0)</f>
        <v>-319.64999999999998</v>
      </c>
      <c r="Z156" s="242"/>
      <c r="AA156" s="242"/>
      <c r="AB156" s="242"/>
      <c r="AC156" s="313">
        <f>WCD+NC*'Look Ups'!$AF$3</f>
        <v>0</v>
      </c>
      <c r="AD156" s="313">
        <f ca="1">IF(RL&lt;'Look Ups'!AM$3,'Look Ups'!AM$4,IF(RL&gt;'Look Ups'!AM$5,'Look Ups'!AM$6,(RL-'Look Ups'!AM$3)/('Look Ups'!AM$5-'Look Ups'!AM$3)*('Look Ups'!AM$6-'Look Ups'!AM$4)+'Look Ups'!AM$4))/100*WS</f>
        <v>543.40499999999997</v>
      </c>
      <c r="AE156" s="306">
        <f t="shared" ref="AE156:AE187" ca="1" si="4">WM+WP+WE</f>
        <v>1811.35</v>
      </c>
      <c r="AF156" s="307">
        <f t="shared" ref="AF156:AF187" ca="1" si="5">_xlfn.SINGLE(WS)+IF(_xlfn.SINGLE(TCW)&gt;=_xlfn.SINGLE(CWA),_xlfn.SINGLE(CWA),_xlfn.SINGLE(TCW))</f>
        <v>1811.35</v>
      </c>
      <c r="AG156" s="243" t="s">
        <v>155</v>
      </c>
      <c r="AH156" s="244" t="s">
        <v>146</v>
      </c>
      <c r="AI156" s="245" t="s">
        <v>147</v>
      </c>
      <c r="AJ156" s="246"/>
      <c r="AK156" s="314">
        <f>IF(C156="",0,VLOOKUP(AG156,'Look Ups'!$F$3:$G$6,2,0)*VLOOKUP(AH156,'Look Ups'!$I$3:$J$5,2,0)*VLOOKUP(AI156,'Look Ups'!$L$3:$M$7,2,0)*IF(AJ156="",1,VLOOKUP(AJ156,'Look Ups'!$O$3:$P$4,2,0)))</f>
        <v>0.99</v>
      </c>
      <c r="AL156" s="247">
        <v>13.21</v>
      </c>
      <c r="AM156" s="248">
        <v>12.9</v>
      </c>
      <c r="AN156" s="248">
        <v>3.9290000000000003</v>
      </c>
      <c r="AO156" s="248">
        <v>1.8</v>
      </c>
      <c r="AP156" s="248">
        <v>0.38</v>
      </c>
      <c r="AQ156" s="248">
        <v>12.77</v>
      </c>
      <c r="AR156" s="248">
        <v>7.4999999999999997E-2</v>
      </c>
      <c r="AS156" s="248">
        <v>4.0650000000000004</v>
      </c>
      <c r="AT156" s="248">
        <v>0</v>
      </c>
      <c r="AU156" s="248">
        <v>0.60000000000000009</v>
      </c>
      <c r="AV156" s="248" t="s">
        <v>590</v>
      </c>
      <c r="AW156" s="249">
        <v>0</v>
      </c>
      <c r="AX156" s="301">
        <f t="shared" ref="AX156:AX187" si="6">P+ER</f>
        <v>12.77</v>
      </c>
      <c r="AY156" s="301">
        <f t="shared" ref="AY156:AY187" si="7">P*0.375*MC</f>
        <v>2.8732500000000005</v>
      </c>
      <c r="AZ156" s="303">
        <f>IF(C156="",0,(0.5*(_ML1*LPM)+0.5*(_ML1*HB)+0.66*(P*PR)+0.66*(_ML2*RDM)+0.66*(E*ER))*VLOOKUP(BATT,'Look Ups'!$U$3:$V$4,2,0))</f>
        <v>39.205031200000001</v>
      </c>
      <c r="BA156" s="250"/>
      <c r="BB156" s="251"/>
      <c r="BC156" s="247">
        <v>10.93</v>
      </c>
      <c r="BD156" s="248">
        <v>3.16</v>
      </c>
      <c r="BE156" s="248">
        <v>3.48</v>
      </c>
      <c r="BF156" s="248">
        <v>0.1</v>
      </c>
      <c r="BG156" s="248">
        <v>9.86</v>
      </c>
      <c r="BH156" s="248">
        <v>9.7799999999999994</v>
      </c>
      <c r="BI156" s="248">
        <v>0.33</v>
      </c>
      <c r="BJ156" s="248">
        <v>7.0000000000000007E-2</v>
      </c>
      <c r="BK156" s="248">
        <v>0.04</v>
      </c>
      <c r="BL156" s="249"/>
      <c r="BM156" s="303">
        <f t="shared" ref="BM156:BM187" si="8">(0.5*LL*LPG)+(0.5*_LG1*HG)+(0.66*LL*LLRG)+(0.66*FG*FRG)+(IF((HG&gt;0),(0.66*_LG2*LRG),(0.66*_LG1*LRG)))</f>
        <v>19.866367999999998</v>
      </c>
      <c r="BN156" s="315"/>
      <c r="BO156" s="316"/>
      <c r="BP156" s="317"/>
      <c r="BQ156" s="317"/>
      <c r="BR156" s="316"/>
      <c r="BS156" s="317"/>
      <c r="BT156" s="317"/>
      <c r="BU156" s="308">
        <f t="shared" ref="BU156:BU187" si="9">(0.5*LLS*LPS)+(0.66*LLS*LLRS)+(0.66*LS*LRS)+(0.66*FS*FRS)</f>
        <v>0</v>
      </c>
      <c r="BV156" s="318"/>
      <c r="BW156" s="316"/>
      <c r="BX156" s="316"/>
      <c r="BY156" s="316"/>
      <c r="BZ156" s="316"/>
      <c r="CA156" s="316"/>
      <c r="CB156" s="316"/>
      <c r="CC156" s="303">
        <f t="shared" ref="CC156:CC187" si="10">(0.5*LLD*LPD)+(0.66*LLD*LLRD)+(0.66*LCHD*LRD)+(0.66*FD*FRD)</f>
        <v>0</v>
      </c>
      <c r="CD156" s="250">
        <v>5.99</v>
      </c>
      <c r="CE156" s="248">
        <v>8.8000000000000007</v>
      </c>
      <c r="CF156" s="248">
        <v>8.7799999999999994</v>
      </c>
      <c r="CG156" s="248">
        <v>5.85</v>
      </c>
      <c r="CH156" s="306">
        <f t="shared" ref="CH156:CH187" si="11">IF(SF&gt;0,SMG/SF*100,"")</f>
        <v>97.662771285475785</v>
      </c>
      <c r="CI156" s="316"/>
      <c r="CJ156" s="308">
        <f t="shared" ref="CJ156:CJ187" si="12">SF*(_SL1+_SL2)/4+(SMG-SF/2)*(_SL1+_SL2)/3</f>
        <v>43.056349999999995</v>
      </c>
      <c r="CK156" s="247"/>
      <c r="CL156" s="248"/>
      <c r="CM156" s="248"/>
      <c r="CN156" s="248"/>
      <c r="CO156" s="301" t="str">
        <f t="shared" ref="CO156:CO187" si="13">IF(SCRF&gt;0,SCRMG/SCRF*100,"")</f>
        <v/>
      </c>
      <c r="CP156" s="316"/>
      <c r="CQ156" s="301">
        <f t="shared" ref="CQ156:CQ187" si="14">SCRF*(SCRL1+SCRL2)/4+(SCRMG-SCRF/2)*(SCRL1+SCRL2)/3</f>
        <v>0</v>
      </c>
      <c r="CR156" s="301" t="str">
        <f>IF(CO156&lt;'Look Ups'!$AC$4,"Yes","No")</f>
        <v>No</v>
      </c>
      <c r="CS156" s="302">
        <f>IF(CR156="Yes",MIN(150,('Look Ups'!$AC$4-PSCR)/('Look Ups'!$AC$4-'Look Ups'!$AC$3)*100),0)</f>
        <v>0</v>
      </c>
      <c r="CT156" s="247"/>
      <c r="CU156" s="248"/>
      <c r="CV156" s="248"/>
      <c r="CW156" s="248"/>
      <c r="CX156" s="301" t="str">
        <f t="shared" ref="CX156:CX187" si="15">IF(USCRF&gt;0,USCRMG/USCRF*100,"")</f>
        <v/>
      </c>
      <c r="CY156" s="302">
        <f>IF(PUSCR&lt;'Look Ups'!$AC$4,MIN(150,('Look Ups'!$AC$4-PUSCR)/('Look Ups'!$AC$4-'Look Ups'!$AC$3)*100),0)</f>
        <v>0</v>
      </c>
      <c r="CZ156" s="303">
        <f>IF(PUSCR&lt;'Look Ups'!$AC$4,USCRF*(USCRL1+USCRL2)/4+(USCRMG-USCRF/2)*(USCRL1+USCRL2)/3,0)</f>
        <v>0</v>
      </c>
      <c r="DA156" s="304">
        <f t="shared" ref="DA156:DA187" si="16">IF(ZVAL=1,1,IF(LPM&gt;0,0.64*((AM+MAM)/(E+(MC/2))^2)^0.3,0))</f>
        <v>1</v>
      </c>
      <c r="DB156" s="301">
        <f t="shared" ref="DB156:DB187" si="17">0.65*((AM+MAM)*EFM)+0.35*((AM+MAM)*ZVAL)</f>
        <v>42.078281199999999</v>
      </c>
      <c r="DC156" s="301">
        <f t="shared" ref="DC156:DC187" si="18">IF(ZVAL=1,1,IF(LPG&gt;0,0.72*(AG/(LPG^2))^0.3,0))</f>
        <v>1</v>
      </c>
      <c r="DD156" s="301">
        <f t="shared" ref="DD156:DD187" si="19">AG*EFG</f>
        <v>19.866367999999998</v>
      </c>
      <c r="DE156" s="301">
        <f>IF(AZ156&gt;0,'Look Ups'!$S$3,0)</f>
        <v>1</v>
      </c>
      <c r="DF156" s="301">
        <f t="shared" ref="DF156:DF187" si="20">IF(LPS&gt;0,0.72*(AS/(LPS^2))^0.3,0)</f>
        <v>0</v>
      </c>
      <c r="DG156" s="256">
        <f t="shared" ref="DG156:DG187" si="21">EFS*AS</f>
        <v>0</v>
      </c>
      <c r="DH156" s="256">
        <f t="shared" ref="DH156:DH187" si="22">IF(LPD&gt;0,0.72*(AD/(LPD^2))^0.3,0)</f>
        <v>0</v>
      </c>
      <c r="DI156" s="280">
        <f t="shared" ref="DI156:DI187" si="23">IF((AD-AG)&gt;0,0.3*(AD-AG)*EFD,0)</f>
        <v>0</v>
      </c>
      <c r="DJ156" s="305" t="str">
        <f t="shared" ref="DJ156:DJ187" si="24">IF((SCRF=0),"-",IF(AND(MSASC&gt;AG,SCRMG&lt;(0.75*SCRF)),"valid","ERROR"))</f>
        <v>-</v>
      </c>
      <c r="DK156" s="306" t="str">
        <f t="shared" ref="DK156:DK187" si="25">IF((SF=0),"-",IF((SMG&lt;(0.75*SF)),"ERROR",IF(AND(MSASP&gt;MSASC,MSASP&gt;AG,MSASP&gt;=0.36*RSAM),"valid","Small")))</f>
        <v>valid</v>
      </c>
      <c r="DL156" s="307" t="str">
        <f t="shared" ref="DL156:DL187" si="26">IF(C156="","",CONCATENATE("MG",IF(FLSCR="valid","Scr",""),IF(FLSPI="valid","SP","")))</f>
        <v>MGSP</v>
      </c>
      <c r="DM156" s="304">
        <f t="shared" ref="DM156:DM187" si="27">RSAM+RSAG</f>
        <v>61.944649200000001</v>
      </c>
      <c r="DN156" s="301">
        <f>IF(MSASP&gt;0,'Look Ups'!$AI$4*(ZVAL*MSASP-RSAG),0)</f>
        <v>6.9569945999999989</v>
      </c>
      <c r="DO156" s="301">
        <f>IF(AND(MSASC&gt;0,(MSASC&gt;=0.36*RSAM)),('Look Ups'!$AI$3*(ZVAL*MSASC-RSAG)),(0))</f>
        <v>0</v>
      </c>
      <c r="DP156" s="301">
        <f>IF(MSASP&gt;0,'Look Ups'!$AI$5*(ZVAL*MSASP-RSAG),0)</f>
        <v>6.4931949599999994</v>
      </c>
      <c r="DQ156" s="301">
        <f>IF(MSASC&gt;0,'Look Ups'!$AI$6*(MSASC-RSAG),0)</f>
        <v>0</v>
      </c>
      <c r="DR156" s="308">
        <f>'Look Ups'!$AI$7*MAX(IF(MSAUSC&gt;0,EUSC/100*(MSAUSC-RSAG),0),IF(CR156="Yes",ELSC/100*(MSASC-RSAG),0))</f>
        <v>0</v>
      </c>
      <c r="DS156" s="308">
        <f t="shared" ref="DS156:DS187" si="28">0.36*RSAM</f>
        <v>15.148181231999999</v>
      </c>
      <c r="DT156" s="309">
        <f t="shared" ref="DT156:DT187" si="29">_xlfn.IFS(SPC="MG",RAMG+DS156,SPC="MGScr",RAMG+RASCO,SPC="MGSp",RAMG+RASPO,SPC="MGScrSp",RAMG+RASPSC+RASCR)+RAUSC+RSAST+RSAD+RSAMZ+RSA2M</f>
        <v>68.901643800000002</v>
      </c>
      <c r="DU156" s="14"/>
    </row>
    <row r="157" spans="1:125" ht="15.6" customHeight="1" x14ac:dyDescent="0.3">
      <c r="A157" s="4"/>
      <c r="B157" s="365"/>
      <c r="C157" s="369" t="s">
        <v>591</v>
      </c>
      <c r="D157" s="370" t="s">
        <v>592</v>
      </c>
      <c r="E157" s="371" t="s">
        <v>593</v>
      </c>
      <c r="F157" s="252">
        <f t="shared" ca="1" si="0"/>
        <v>0.93</v>
      </c>
      <c r="G157" s="252" t="str">
        <f ca="1">IF(OR(FLSCR="ERROR",FLSPI="ERROR"),"No",IF(TODAY()-'Look Ups'!$D$4*365&gt;I157,"WP Applied","Yes"))</f>
        <v>WP Applied</v>
      </c>
      <c r="H157" s="253" t="str">
        <f t="shared" si="1"/>
        <v>Main-Genoa-Spinnaker</v>
      </c>
      <c r="I157" s="1">
        <v>38081</v>
      </c>
      <c r="J157" s="1"/>
      <c r="K157" s="87" t="s">
        <v>594</v>
      </c>
      <c r="L157" s="87" t="s">
        <v>589</v>
      </c>
      <c r="M157" s="207"/>
      <c r="N157" s="88" t="s">
        <v>318</v>
      </c>
      <c r="O157" s="88"/>
      <c r="P157" s="89">
        <v>9</v>
      </c>
      <c r="Q157" s="90">
        <v>9.98</v>
      </c>
      <c r="R157" s="87"/>
      <c r="S157" s="256">
        <f t="shared" si="2"/>
        <v>0.24950000000000003</v>
      </c>
      <c r="T157" s="117">
        <v>0.28000000000000003</v>
      </c>
      <c r="U157" s="117">
        <v>0</v>
      </c>
      <c r="V157" s="258">
        <f t="shared" si="3"/>
        <v>9.7000000000000011</v>
      </c>
      <c r="W157" s="259">
        <f>IF(RL&gt;0,IF(RL&gt;'Look Ups'!Y$7,'Look Ups'!Y$8,('Look Ups'!Y$3*RL^3+'Look Ups'!Y$4*RL^2+'Look Ups'!Y$5*RL+'Look Ups'!Y$6)),0)</f>
        <v>0.298042209</v>
      </c>
      <c r="X157" s="92">
        <f>2409-47</f>
        <v>2362</v>
      </c>
      <c r="Y157" s="262">
        <f ca="1">IF(WDATE&lt;(TODAY()-'Look Ups'!$D$4*365),-WM*'Look Ups'!$D$5/100,0)</f>
        <v>-354.3</v>
      </c>
      <c r="Z157" s="93"/>
      <c r="AA157" s="93"/>
      <c r="AB157" s="93"/>
      <c r="AC157" s="265">
        <f>WCD+NC*'Look Ups'!$AF$3</f>
        <v>0</v>
      </c>
      <c r="AD157" s="265">
        <f ca="1">IF(RL&lt;'Look Ups'!AM$3,'Look Ups'!AM$4,IF(RL&gt;'Look Ups'!AM$5,'Look Ups'!AM$6,(RL-'Look Ups'!AM$3)/('Look Ups'!AM$5-'Look Ups'!AM$3)*('Look Ups'!AM$6-'Look Ups'!AM$4)+'Look Ups'!AM$4))/100*WS</f>
        <v>383.28818181818173</v>
      </c>
      <c r="AE157" s="266">
        <f t="shared" ca="1" si="4"/>
        <v>2007.7</v>
      </c>
      <c r="AF157" s="267">
        <f t="shared" ca="1" si="5"/>
        <v>2007.7</v>
      </c>
      <c r="AG157" s="94" t="s">
        <v>145</v>
      </c>
      <c r="AH157" s="95" t="s">
        <v>146</v>
      </c>
      <c r="AI157" s="96" t="s">
        <v>187</v>
      </c>
      <c r="AJ157" s="218"/>
      <c r="AK157" s="273">
        <f>IF(C157="",0,VLOOKUP(AG157,'Look Ups'!$F$3:$G$6,2,0)*VLOOKUP(AH157,'Look Ups'!$I$3:$J$5,2,0)*VLOOKUP(AI157,'Look Ups'!$L$3:$M$7,2,0)*IF(AJ157="",1,VLOOKUP(AJ157,'Look Ups'!$O$3:$P$4,2,0)))</f>
        <v>0.995</v>
      </c>
      <c r="AL157" s="83">
        <v>13.2</v>
      </c>
      <c r="AM157" s="91">
        <v>13.19</v>
      </c>
      <c r="AN157" s="91">
        <v>3.88</v>
      </c>
      <c r="AO157" s="91">
        <v>0.1</v>
      </c>
      <c r="AP157" s="91">
        <v>1.57</v>
      </c>
      <c r="AQ157" s="91">
        <v>12.63</v>
      </c>
      <c r="AR157" s="91">
        <v>0.15</v>
      </c>
      <c r="AS157" s="91">
        <v>4.09</v>
      </c>
      <c r="AT157" s="91">
        <v>0.11</v>
      </c>
      <c r="AU157" s="91">
        <v>0.49</v>
      </c>
      <c r="AV157" s="91" t="s">
        <v>148</v>
      </c>
      <c r="AW157" s="97">
        <v>0</v>
      </c>
      <c r="AX157" s="256">
        <f t="shared" si="6"/>
        <v>12.74</v>
      </c>
      <c r="AY157" s="256">
        <f t="shared" si="7"/>
        <v>2.3207624999999998</v>
      </c>
      <c r="AZ157" s="275">
        <f>IF(C157="",0,(0.5*(_ML1*LPM)+0.5*(_ML1*HB)+0.66*(P*PR)+0.66*(_ML2*RDM)+0.66*(E*ER))*VLOOKUP(BATT,'Look Ups'!$U$3:$V$4,2,0))</f>
        <v>41.482782</v>
      </c>
      <c r="BA157" s="98"/>
      <c r="BB157" s="99"/>
      <c r="BC157" s="83">
        <v>12</v>
      </c>
      <c r="BD157" s="91">
        <v>4.18</v>
      </c>
      <c r="BE157" s="91">
        <v>4.55</v>
      </c>
      <c r="BF157" s="91">
        <v>0.22</v>
      </c>
      <c r="BG157" s="91">
        <v>11.25</v>
      </c>
      <c r="BH157" s="91"/>
      <c r="BI157" s="91"/>
      <c r="BJ157" s="91">
        <v>-0.15</v>
      </c>
      <c r="BK157" s="91">
        <v>-0.09</v>
      </c>
      <c r="BL157" s="97"/>
      <c r="BM157" s="275">
        <f t="shared" si="8"/>
        <v>23.914109999999997</v>
      </c>
      <c r="BN157" s="319"/>
      <c r="BO157" s="320"/>
      <c r="BP157" s="321"/>
      <c r="BQ157" s="321"/>
      <c r="BR157" s="320"/>
      <c r="BS157" s="321"/>
      <c r="BT157" s="321"/>
      <c r="BU157" s="280">
        <f t="shared" si="9"/>
        <v>0</v>
      </c>
      <c r="BV157" s="322"/>
      <c r="BW157" s="320"/>
      <c r="BX157" s="320"/>
      <c r="BY157" s="320"/>
      <c r="BZ157" s="320"/>
      <c r="CA157" s="320"/>
      <c r="CB157" s="320"/>
      <c r="CC157" s="275">
        <f t="shared" si="10"/>
        <v>0</v>
      </c>
      <c r="CD157" s="98">
        <v>8.1</v>
      </c>
      <c r="CE157" s="91">
        <v>15.5</v>
      </c>
      <c r="CF157" s="91">
        <v>13.2</v>
      </c>
      <c r="CG157" s="91">
        <v>8.23</v>
      </c>
      <c r="CH157" s="266">
        <f t="shared" si="11"/>
        <v>101.60493827160495</v>
      </c>
      <c r="CI157" s="320"/>
      <c r="CJ157" s="280">
        <f t="shared" si="12"/>
        <v>98.106166666666667</v>
      </c>
      <c r="CK157" s="83"/>
      <c r="CL157" s="91"/>
      <c r="CM157" s="91"/>
      <c r="CN157" s="91"/>
      <c r="CO157" s="256" t="str">
        <f t="shared" si="13"/>
        <v/>
      </c>
      <c r="CP157" s="320"/>
      <c r="CQ157" s="256">
        <f t="shared" si="14"/>
        <v>0</v>
      </c>
      <c r="CR157" s="256" t="str">
        <f>IF(CO157&lt;'Look Ups'!$AC$4,"Yes","No")</f>
        <v>No</v>
      </c>
      <c r="CS157" s="267">
        <f>IF(CR157="Yes",MIN(150,('Look Ups'!$AC$4-PSCR)/('Look Ups'!$AC$4-'Look Ups'!$AC$3)*100),0)</f>
        <v>0</v>
      </c>
      <c r="CT157" s="83"/>
      <c r="CU157" s="91"/>
      <c r="CV157" s="91"/>
      <c r="CW157" s="91"/>
      <c r="CX157" s="256" t="str">
        <f t="shared" si="15"/>
        <v/>
      </c>
      <c r="CY157" s="293">
        <f>IF(PUSCR&lt;'Look Ups'!$AC$4,MIN(150,('Look Ups'!$AC$4-PUSCR)/('Look Ups'!$AC$4-'Look Ups'!$AC$3)*100),0)</f>
        <v>0</v>
      </c>
      <c r="CZ157" s="275">
        <f>IF(PUSCR&lt;'Look Ups'!$AC$4,USCRF*(USCRL1+USCRL2)/4+(USCRMG-USCRF/2)*(USCRL1+USCRL2)/3,0)</f>
        <v>0</v>
      </c>
      <c r="DA157" s="294">
        <f t="shared" si="16"/>
        <v>1</v>
      </c>
      <c r="DB157" s="256">
        <f t="shared" si="17"/>
        <v>43.803544500000001</v>
      </c>
      <c r="DC157" s="256">
        <f t="shared" si="18"/>
        <v>1</v>
      </c>
      <c r="DD157" s="256">
        <f t="shared" si="19"/>
        <v>23.914109999999997</v>
      </c>
      <c r="DE157" s="256">
        <f>IF(AZ157&gt;0,'Look Ups'!$S$3,0)</f>
        <v>1</v>
      </c>
      <c r="DF157" s="256">
        <f t="shared" si="20"/>
        <v>0</v>
      </c>
      <c r="DG157" s="256">
        <f t="shared" si="21"/>
        <v>0</v>
      </c>
      <c r="DH157" s="256">
        <f t="shared" si="22"/>
        <v>0</v>
      </c>
      <c r="DI157" s="280">
        <f t="shared" si="23"/>
        <v>0</v>
      </c>
      <c r="DJ157" s="295" t="str">
        <f t="shared" si="24"/>
        <v>-</v>
      </c>
      <c r="DK157" s="266" t="str">
        <f t="shared" si="25"/>
        <v>valid</v>
      </c>
      <c r="DL157" s="267" t="str">
        <f t="shared" si="26"/>
        <v>MGSP</v>
      </c>
      <c r="DM157" s="294">
        <f t="shared" si="27"/>
        <v>67.717654499999995</v>
      </c>
      <c r="DN157" s="256">
        <f>IF(MSASP&gt;0,'Look Ups'!$AI$4*(ZVAL*MSASP-RSAG),0)</f>
        <v>22.257617</v>
      </c>
      <c r="DO157" s="256">
        <f>IF(AND(MSASC&gt;0,(MSASC&gt;=0.36*RSAM)),('Look Ups'!$AI$3*(ZVAL*MSASC-RSAG)),(0))</f>
        <v>0</v>
      </c>
      <c r="DP157" s="256">
        <f>IF(MSASP&gt;0,'Look Ups'!$AI$5*(ZVAL*MSASP-RSAG),0)</f>
        <v>20.773775866666671</v>
      </c>
      <c r="DQ157" s="256">
        <f>IF(MSASC&gt;0,'Look Ups'!$AI$6*(MSASC-RSAG),0)</f>
        <v>0</v>
      </c>
      <c r="DR157" s="256">
        <f>'Look Ups'!$AI$7*MAX(IF(MSAUSC&gt;0,EUSC/100*(MSAUSC-RSAG),0),IF(CR157="Yes",ELSC/100*(MSASC-RSAG),0))</f>
        <v>0</v>
      </c>
      <c r="DS157" s="280">
        <f t="shared" si="28"/>
        <v>15.76927602</v>
      </c>
      <c r="DT157" s="296">
        <f t="shared" si="29"/>
        <v>89.975271499999991</v>
      </c>
      <c r="DU157" s="63"/>
    </row>
    <row r="158" spans="1:125" ht="15.6" customHeight="1" x14ac:dyDescent="0.3">
      <c r="A158" s="4"/>
      <c r="B158" s="365"/>
      <c r="C158" s="369" t="s">
        <v>595</v>
      </c>
      <c r="D158" s="370" t="s">
        <v>596</v>
      </c>
      <c r="E158" s="371" t="s">
        <v>597</v>
      </c>
      <c r="F158" s="252">
        <f t="shared" ca="1" si="0"/>
        <v>0.86799999999999999</v>
      </c>
      <c r="G158" s="252" t="str">
        <f ca="1">IF(OR(FLSCR="ERROR",FLSPI="ERROR"),"No",IF(TODAY()-'Look Ups'!$D$4*365&gt;I158,"WP Applied","Yes"))</f>
        <v>WP Applied</v>
      </c>
      <c r="H158" s="253" t="str">
        <f t="shared" si="1"/>
        <v>Main-Genoa-Screacher (Upwind)-Spinnaker</v>
      </c>
      <c r="I158" s="1">
        <v>38731</v>
      </c>
      <c r="J158" s="1">
        <v>40504</v>
      </c>
      <c r="K158" s="87" t="s">
        <v>598</v>
      </c>
      <c r="L158" s="87" t="s">
        <v>192</v>
      </c>
      <c r="M158" s="207"/>
      <c r="N158" s="88" t="s">
        <v>143</v>
      </c>
      <c r="O158" s="88" t="s">
        <v>154</v>
      </c>
      <c r="P158" s="89"/>
      <c r="Q158" s="90">
        <v>7.49</v>
      </c>
      <c r="R158" s="87"/>
      <c r="S158" s="256">
        <f t="shared" si="2"/>
        <v>0.18725000000000003</v>
      </c>
      <c r="T158" s="117">
        <v>0.23</v>
      </c>
      <c r="U158" s="117">
        <v>0</v>
      </c>
      <c r="V158" s="258">
        <f t="shared" si="3"/>
        <v>7.26</v>
      </c>
      <c r="W158" s="259">
        <f>IF(RL&gt;0,IF(RL&gt;'Look Ups'!Y$7,'Look Ups'!Y$8,('Look Ups'!Y$3*RL^3+'Look Ups'!Y$4*RL^2+'Look Ups'!Y$5*RL+'Look Ups'!Y$6)),0)</f>
        <v>0.290907046808</v>
      </c>
      <c r="X158" s="92">
        <v>1060</v>
      </c>
      <c r="Y158" s="263">
        <f ca="1">IF(WDATE&lt;(TODAY()-'Look Ups'!$D$4*365),-WM*'Look Ups'!$D$5/100,0)</f>
        <v>-159</v>
      </c>
      <c r="Z158" s="103"/>
      <c r="AA158" s="109"/>
      <c r="AB158" s="109"/>
      <c r="AC158" s="265">
        <f>WCD+NC*'Look Ups'!$AF$3</f>
        <v>0</v>
      </c>
      <c r="AD158" s="265">
        <f ca="1">IF(RL&lt;'Look Ups'!AM$3,'Look Ups'!AM$4,IF(RL&gt;'Look Ups'!AM$5,'Look Ups'!AM$6,(RL-'Look Ups'!AM$3)/('Look Ups'!AM$5-'Look Ups'!AM$3)*('Look Ups'!AM$6-'Look Ups'!AM$4)+'Look Ups'!AM$4))/100*WS</f>
        <v>251.95236363636363</v>
      </c>
      <c r="AE158" s="269">
        <f t="shared" ca="1" si="4"/>
        <v>901</v>
      </c>
      <c r="AF158" s="267">
        <f t="shared" ca="1" si="5"/>
        <v>901</v>
      </c>
      <c r="AG158" s="94" t="s">
        <v>145</v>
      </c>
      <c r="AH158" s="95" t="s">
        <v>146</v>
      </c>
      <c r="AI158" s="96" t="s">
        <v>147</v>
      </c>
      <c r="AJ158" s="218"/>
      <c r="AK158" s="273">
        <f>IF(C158="",0,VLOOKUP(AG158,'Look Ups'!$F$3:$G$6,2,0)*VLOOKUP(AH158,'Look Ups'!$I$3:$J$5,2,0)*VLOOKUP(AI158,'Look Ups'!$L$3:$M$7,2,0)*IF(AJ158="",1,VLOOKUP(AJ158,'Look Ups'!$O$3:$P$4,2,0)))</f>
        <v>1</v>
      </c>
      <c r="AL158" s="83">
        <v>9.31</v>
      </c>
      <c r="AM158" s="91">
        <v>9.06</v>
      </c>
      <c r="AN158" s="91">
        <v>3.07</v>
      </c>
      <c r="AO158" s="91">
        <v>0.73499999999999999</v>
      </c>
      <c r="AP158" s="91">
        <v>0.64</v>
      </c>
      <c r="AQ158" s="91">
        <v>8.8800000000000008</v>
      </c>
      <c r="AR158" s="91">
        <v>0.16</v>
      </c>
      <c r="AS158" s="91">
        <v>3.3</v>
      </c>
      <c r="AT158" s="91">
        <v>2.5000000000000001E-2</v>
      </c>
      <c r="AU158" s="91">
        <v>0.41</v>
      </c>
      <c r="AV158" s="91" t="s">
        <v>148</v>
      </c>
      <c r="AW158" s="97"/>
      <c r="AX158" s="256">
        <f t="shared" si="6"/>
        <v>8.9050000000000011</v>
      </c>
      <c r="AY158" s="256">
        <f t="shared" si="7"/>
        <v>1.3653</v>
      </c>
      <c r="AZ158" s="275">
        <f>IF(C158="",0,(0.5*(_ML1*LPM)+0.5*(_ML1*HB)+0.66*(P*PR)+0.66*(_ML2*RDM)+0.66*(E*ER))*VLOOKUP(BATT,'Look Ups'!$U$3:$V$4,2,0))</f>
        <v>22.531397000000002</v>
      </c>
      <c r="BA158" s="98"/>
      <c r="BB158" s="99"/>
      <c r="BC158" s="83">
        <v>8.33</v>
      </c>
      <c r="BD158" s="91">
        <v>2.82</v>
      </c>
      <c r="BE158" s="91">
        <v>3.2</v>
      </c>
      <c r="BF158" s="91">
        <v>0.08</v>
      </c>
      <c r="BG158" s="91">
        <v>7.47</v>
      </c>
      <c r="BH158" s="91"/>
      <c r="BI158" s="91"/>
      <c r="BJ158" s="91">
        <v>0</v>
      </c>
      <c r="BK158" s="91">
        <v>0.125</v>
      </c>
      <c r="BL158" s="97"/>
      <c r="BM158" s="275">
        <f t="shared" si="8"/>
        <v>12.601485</v>
      </c>
      <c r="BN158" s="319"/>
      <c r="BO158" s="320"/>
      <c r="BP158" s="321"/>
      <c r="BQ158" s="321"/>
      <c r="BR158" s="320"/>
      <c r="BS158" s="321"/>
      <c r="BT158" s="321"/>
      <c r="BU158" s="280">
        <f t="shared" si="9"/>
        <v>0</v>
      </c>
      <c r="BV158" s="322"/>
      <c r="BW158" s="320"/>
      <c r="BX158" s="320"/>
      <c r="BY158" s="320"/>
      <c r="BZ158" s="320"/>
      <c r="CA158" s="320"/>
      <c r="CB158" s="320"/>
      <c r="CC158" s="275">
        <f t="shared" si="10"/>
        <v>0</v>
      </c>
      <c r="CD158" s="98">
        <v>6.71</v>
      </c>
      <c r="CE158" s="91">
        <v>11.36</v>
      </c>
      <c r="CF158" s="91">
        <v>10.37</v>
      </c>
      <c r="CG158" s="91">
        <v>5.98</v>
      </c>
      <c r="CH158" s="266">
        <f t="shared" si="11"/>
        <v>89.120715350223563</v>
      </c>
      <c r="CI158" s="320"/>
      <c r="CJ158" s="280">
        <f t="shared" si="12"/>
        <v>55.465824999999995</v>
      </c>
      <c r="CK158" s="83">
        <v>5.25</v>
      </c>
      <c r="CL158" s="91">
        <v>9.52</v>
      </c>
      <c r="CM158" s="91">
        <v>7.39</v>
      </c>
      <c r="CN158" s="91">
        <v>2.63</v>
      </c>
      <c r="CO158" s="256">
        <f t="shared" si="13"/>
        <v>50.095238095238095</v>
      </c>
      <c r="CP158" s="320"/>
      <c r="CQ158" s="256">
        <f t="shared" si="14"/>
        <v>22.222558333333332</v>
      </c>
      <c r="CR158" s="256" t="str">
        <f>IF(CO158&lt;'Look Ups'!$AC$4,"Yes","No")</f>
        <v>Yes</v>
      </c>
      <c r="CS158" s="293">
        <f>IF(CR158="Yes",MIN(150,('Look Ups'!$AC$4-PSCR)/('Look Ups'!$AC$4-'Look Ups'!$AC$3)*100),0)</f>
        <v>38.095238095238102</v>
      </c>
      <c r="CT158" s="83"/>
      <c r="CU158" s="91"/>
      <c r="CV158" s="91"/>
      <c r="CW158" s="91"/>
      <c r="CX158" s="256" t="str">
        <f t="shared" si="15"/>
        <v/>
      </c>
      <c r="CY158" s="293">
        <f>IF(PUSCR&lt;'Look Ups'!$AC$4,MIN(150,('Look Ups'!$AC$4-PUSCR)/('Look Ups'!$AC$4-'Look Ups'!$AC$3)*100),0)</f>
        <v>0</v>
      </c>
      <c r="CZ158" s="275">
        <f>IF(PUSCR&lt;'Look Ups'!$AC$4,USCRF*(USCRL1+USCRL2)/4+(USCRMG-USCRF/2)*(USCRL1+USCRL2)/3,0)</f>
        <v>0</v>
      </c>
      <c r="DA158" s="294">
        <f t="shared" si="16"/>
        <v>1</v>
      </c>
      <c r="DB158" s="256">
        <f t="shared" si="17"/>
        <v>23.896697000000003</v>
      </c>
      <c r="DC158" s="256">
        <f t="shared" si="18"/>
        <v>1</v>
      </c>
      <c r="DD158" s="256">
        <f t="shared" si="19"/>
        <v>12.601485</v>
      </c>
      <c r="DE158" s="256">
        <f>IF(AZ158&gt;0,'Look Ups'!$S$3,0)</f>
        <v>1</v>
      </c>
      <c r="DF158" s="256">
        <f t="shared" si="20"/>
        <v>0</v>
      </c>
      <c r="DG158" s="256">
        <f t="shared" si="21"/>
        <v>0</v>
      </c>
      <c r="DH158" s="256">
        <f t="shared" si="22"/>
        <v>0</v>
      </c>
      <c r="DI158" s="280">
        <f t="shared" si="23"/>
        <v>0</v>
      </c>
      <c r="DJ158" s="295" t="str">
        <f t="shared" si="24"/>
        <v>valid</v>
      </c>
      <c r="DK158" s="266" t="str">
        <f t="shared" si="25"/>
        <v>valid</v>
      </c>
      <c r="DL158" s="267" t="str">
        <f t="shared" si="26"/>
        <v>MGScrSP</v>
      </c>
      <c r="DM158" s="294">
        <f t="shared" si="27"/>
        <v>36.498182</v>
      </c>
      <c r="DN158" s="256">
        <f>IF(MSASP&gt;0,'Look Ups'!$AI$4*(ZVAL*MSASP-RSAG),0)</f>
        <v>12.859302</v>
      </c>
      <c r="DO158" s="256">
        <f>IF(AND(MSASC&gt;0,(MSASC&gt;=0.36*RSAM)),('Look Ups'!$AI$3*(ZVAL*MSASC-RSAG)),(0))</f>
        <v>3.3673756666666659</v>
      </c>
      <c r="DP158" s="256">
        <f>IF(MSASP&gt;0,'Look Ups'!$AI$5*(ZVAL*MSASP-RSAG),0)</f>
        <v>12.002015200000001</v>
      </c>
      <c r="DQ158" s="256">
        <f>IF(MSASC&gt;0,'Look Ups'!$AI$6*(MSASC-RSAG),0)</f>
        <v>0.67347513333333331</v>
      </c>
      <c r="DR158" s="280">
        <f>'Look Ups'!$AI$7*MAX(IF(MSAUSC&gt;0,EUSC/100*(MSAUSC-RSAG),0),IF(CR158="Yes",ELSC/100*(MSASC-RSAG),0))</f>
        <v>0.91629269841269845</v>
      </c>
      <c r="DS158" s="280">
        <f t="shared" si="28"/>
        <v>8.6028109200000014</v>
      </c>
      <c r="DT158" s="296">
        <f t="shared" si="29"/>
        <v>50.089965031746033</v>
      </c>
      <c r="DU158" s="14"/>
    </row>
    <row r="159" spans="1:125" ht="15.6" customHeight="1" x14ac:dyDescent="0.3">
      <c r="A159" s="4"/>
      <c r="B159" s="365"/>
      <c r="C159" s="369" t="s">
        <v>599</v>
      </c>
      <c r="D159" s="370" t="s">
        <v>600</v>
      </c>
      <c r="E159" s="371" t="s">
        <v>601</v>
      </c>
      <c r="F159" s="252">
        <f t="shared" ca="1" si="0"/>
        <v>0.71899999999999997</v>
      </c>
      <c r="G159" s="252" t="str">
        <f ca="1">IF(OR(FLSCR="ERROR",FLSPI="ERROR"),"No",IF(TODAY()-'Look Ups'!$D$4*365&gt;I159,"WP Applied","Yes"))</f>
        <v>WP Applied</v>
      </c>
      <c r="H159" s="253" t="str">
        <f t="shared" si="1"/>
        <v>Main-Genoa-Spinnaker</v>
      </c>
      <c r="I159" s="1">
        <v>35509</v>
      </c>
      <c r="J159" s="1"/>
      <c r="K159" s="87" t="s">
        <v>602</v>
      </c>
      <c r="L159" s="87" t="s">
        <v>589</v>
      </c>
      <c r="M159" s="207"/>
      <c r="N159" s="88" t="s">
        <v>165</v>
      </c>
      <c r="O159" s="88"/>
      <c r="P159" s="89">
        <v>7.9</v>
      </c>
      <c r="Q159" s="90">
        <v>12.4</v>
      </c>
      <c r="R159" s="87"/>
      <c r="S159" s="256">
        <f t="shared" si="2"/>
        <v>0.31000000000000005</v>
      </c>
      <c r="T159" s="117">
        <v>0.7</v>
      </c>
      <c r="U159" s="117">
        <v>0</v>
      </c>
      <c r="V159" s="258">
        <f t="shared" si="3"/>
        <v>11.700000000000001</v>
      </c>
      <c r="W159" s="259">
        <f>IF(RL&gt;0,IF(RL&gt;'Look Ups'!Y$7,'Look Ups'!Y$8,('Look Ups'!Y$3*RL^3+'Look Ups'!Y$4*RL^2+'Look Ups'!Y$5*RL+'Look Ups'!Y$6)),0)</f>
        <v>0.299857229</v>
      </c>
      <c r="X159" s="92">
        <v>6296</v>
      </c>
      <c r="Y159" s="263">
        <f ca="1">IF(WDATE&lt;(TODAY()-'Look Ups'!$D$4*365),-WM*'Look Ups'!$D$5/100,0)</f>
        <v>-944.4</v>
      </c>
      <c r="Z159" s="103"/>
      <c r="AA159" s="109"/>
      <c r="AB159" s="109"/>
      <c r="AC159" s="265">
        <f>WCD+NC*'Look Ups'!$AF$3</f>
        <v>0</v>
      </c>
      <c r="AD159" s="265">
        <f ca="1">IF(RL&lt;'Look Ups'!AM$3,'Look Ups'!AM$4,IF(RL&gt;'Look Ups'!AM$5,'Look Ups'!AM$6,(RL-'Look Ups'!AM$3)/('Look Ups'!AM$5-'Look Ups'!AM$3)*('Look Ups'!AM$6-'Look Ups'!AM$4)+'Look Ups'!AM$4))/100*WS</f>
        <v>632.46181818181788</v>
      </c>
      <c r="AE159" s="269">
        <f t="shared" ca="1" si="4"/>
        <v>5351.6</v>
      </c>
      <c r="AF159" s="267">
        <f t="shared" ca="1" si="5"/>
        <v>5351.6</v>
      </c>
      <c r="AG159" s="94" t="s">
        <v>603</v>
      </c>
      <c r="AH159" s="95" t="s">
        <v>146</v>
      </c>
      <c r="AI159" s="96" t="s">
        <v>147</v>
      </c>
      <c r="AJ159" s="218"/>
      <c r="AK159" s="273">
        <f>IF(C159="",0,VLOOKUP(AG159,'Look Ups'!$F$3:$G$6,2,0)*VLOOKUP(AH159,'Look Ups'!$I$3:$J$5,2,0)*VLOOKUP(AI159,'Look Ups'!$L$3:$M$7,2,0)*IF(AJ159="",1,VLOOKUP(AJ159,'Look Ups'!$O$3:$P$4,2,0)))</f>
        <v>0.98</v>
      </c>
      <c r="AL159" s="83">
        <v>12.7</v>
      </c>
      <c r="AM159" s="91">
        <v>0</v>
      </c>
      <c r="AN159" s="91">
        <v>4.49</v>
      </c>
      <c r="AO159" s="91">
        <v>0</v>
      </c>
      <c r="AP159" s="91">
        <v>0.53</v>
      </c>
      <c r="AQ159" s="91">
        <v>11.9</v>
      </c>
      <c r="AR159" s="91">
        <v>0</v>
      </c>
      <c r="AS159" s="91">
        <v>4.6100000000000003</v>
      </c>
      <c r="AT159" s="91">
        <v>0</v>
      </c>
      <c r="AU159" s="91">
        <v>0</v>
      </c>
      <c r="AV159" s="91" t="s">
        <v>148</v>
      </c>
      <c r="AW159" s="97">
        <v>0</v>
      </c>
      <c r="AX159" s="256">
        <f t="shared" si="6"/>
        <v>11.9</v>
      </c>
      <c r="AY159" s="256">
        <f t="shared" si="7"/>
        <v>0</v>
      </c>
      <c r="AZ159" s="275">
        <f>IF(C159="",0,(0.5*(_ML1*LPM)+0.5*(_ML1*HB)+0.66*(P*PR)+0.66*(_ML2*RDM)+0.66*(E*ER))*VLOOKUP(BATT,'Look Ups'!$U$3:$V$4,2,0))</f>
        <v>28.511499999999998</v>
      </c>
      <c r="BA159" s="98"/>
      <c r="BB159" s="99"/>
      <c r="BC159" s="83">
        <v>14.2</v>
      </c>
      <c r="BD159" s="91">
        <v>6.48</v>
      </c>
      <c r="BE159" s="91">
        <v>7.35</v>
      </c>
      <c r="BF159" s="91">
        <v>0</v>
      </c>
      <c r="BG159" s="91">
        <v>12.73</v>
      </c>
      <c r="BH159" s="91"/>
      <c r="BI159" s="91"/>
      <c r="BJ159" s="91">
        <v>-0.34</v>
      </c>
      <c r="BK159" s="91">
        <v>0</v>
      </c>
      <c r="BL159" s="97"/>
      <c r="BM159" s="275">
        <f t="shared" si="8"/>
        <v>43.151388000000004</v>
      </c>
      <c r="BN159" s="319"/>
      <c r="BO159" s="320"/>
      <c r="BP159" s="321"/>
      <c r="BQ159" s="321"/>
      <c r="BR159" s="320"/>
      <c r="BS159" s="321"/>
      <c r="BT159" s="321"/>
      <c r="BU159" s="280">
        <f t="shared" si="9"/>
        <v>0</v>
      </c>
      <c r="BV159" s="322"/>
      <c r="BW159" s="320"/>
      <c r="BX159" s="320"/>
      <c r="BY159" s="320"/>
      <c r="BZ159" s="320"/>
      <c r="CA159" s="320"/>
      <c r="CB159" s="320"/>
      <c r="CC159" s="275">
        <f t="shared" si="10"/>
        <v>0</v>
      </c>
      <c r="CD159" s="98">
        <v>8.1300000000000008</v>
      </c>
      <c r="CE159" s="91">
        <v>16.75</v>
      </c>
      <c r="CF159" s="91">
        <v>16.7</v>
      </c>
      <c r="CG159" s="91">
        <v>8.4</v>
      </c>
      <c r="CH159" s="266">
        <f t="shared" si="11"/>
        <v>103.3210332103321</v>
      </c>
      <c r="CI159" s="320"/>
      <c r="CJ159" s="280">
        <f t="shared" si="12"/>
        <v>116.32237500000001</v>
      </c>
      <c r="CK159" s="83"/>
      <c r="CL159" s="91"/>
      <c r="CM159" s="91"/>
      <c r="CN159" s="91"/>
      <c r="CO159" s="256" t="str">
        <f t="shared" si="13"/>
        <v/>
      </c>
      <c r="CP159" s="320"/>
      <c r="CQ159" s="256">
        <f t="shared" si="14"/>
        <v>0</v>
      </c>
      <c r="CR159" s="256" t="str">
        <f>IF(CO159&lt;'Look Ups'!$AC$4,"Yes","No")</f>
        <v>No</v>
      </c>
      <c r="CS159" s="293">
        <f>IF(CR159="Yes",MIN(150,('Look Ups'!$AC$4-PSCR)/('Look Ups'!$AC$4-'Look Ups'!$AC$3)*100),0)</f>
        <v>0</v>
      </c>
      <c r="CT159" s="83"/>
      <c r="CU159" s="91"/>
      <c r="CV159" s="91"/>
      <c r="CW159" s="91"/>
      <c r="CX159" s="256" t="str">
        <f t="shared" si="15"/>
        <v/>
      </c>
      <c r="CY159" s="293">
        <f>IF(PUSCR&lt;'Look Ups'!$AC$4,MIN(150,('Look Ups'!$AC$4-PUSCR)/('Look Ups'!$AC$4-'Look Ups'!$AC$3)*100),0)</f>
        <v>0</v>
      </c>
      <c r="CZ159" s="275">
        <f>IF(PUSCR&lt;'Look Ups'!$AC$4,USCRF*(USCRL1+USCRL2)/4+(USCRMG-USCRF/2)*(USCRL1+USCRL2)/3,0)</f>
        <v>0</v>
      </c>
      <c r="DA159" s="294">
        <f t="shared" si="16"/>
        <v>1</v>
      </c>
      <c r="DB159" s="256">
        <f t="shared" si="17"/>
        <v>28.511499999999998</v>
      </c>
      <c r="DC159" s="256">
        <f t="shared" si="18"/>
        <v>1</v>
      </c>
      <c r="DD159" s="256">
        <f t="shared" si="19"/>
        <v>43.151388000000004</v>
      </c>
      <c r="DE159" s="256">
        <f>IF(AZ159&gt;0,'Look Ups'!$S$3,0)</f>
        <v>1</v>
      </c>
      <c r="DF159" s="256">
        <f t="shared" si="20"/>
        <v>0</v>
      </c>
      <c r="DG159" s="256">
        <f t="shared" si="21"/>
        <v>0</v>
      </c>
      <c r="DH159" s="256">
        <f t="shared" si="22"/>
        <v>0</v>
      </c>
      <c r="DI159" s="280">
        <f t="shared" si="23"/>
        <v>0</v>
      </c>
      <c r="DJ159" s="295" t="str">
        <f t="shared" si="24"/>
        <v>-</v>
      </c>
      <c r="DK159" s="266" t="str">
        <f t="shared" si="25"/>
        <v>valid</v>
      </c>
      <c r="DL159" s="267" t="str">
        <f t="shared" si="26"/>
        <v>MGSP</v>
      </c>
      <c r="DM159" s="294">
        <f t="shared" si="27"/>
        <v>71.662888000000009</v>
      </c>
      <c r="DN159" s="256">
        <f>IF(MSASP&gt;0,'Look Ups'!$AI$4*(ZVAL*MSASP-RSAG),0)</f>
        <v>21.951296099999997</v>
      </c>
      <c r="DO159" s="256">
        <f>IF(AND(MSASC&gt;0,(MSASC&gt;=0.36*RSAM)),('Look Ups'!$AI$3*(ZVAL*MSASC-RSAG)),(0))</f>
        <v>0</v>
      </c>
      <c r="DP159" s="256">
        <f>IF(MSASP&gt;0,'Look Ups'!$AI$5*(ZVAL*MSASP-RSAG),0)</f>
        <v>20.487876360000001</v>
      </c>
      <c r="DQ159" s="256">
        <f>IF(MSASC&gt;0,'Look Ups'!$AI$6*(MSASC-RSAG),0)</f>
        <v>0</v>
      </c>
      <c r="DR159" s="280">
        <f>'Look Ups'!$AI$7*MAX(IF(MSAUSC&gt;0,EUSC/100*(MSAUSC-RSAG),0),IF(CR159="Yes",ELSC/100*(MSASC-RSAG),0))</f>
        <v>0</v>
      </c>
      <c r="DS159" s="280">
        <f t="shared" si="28"/>
        <v>10.264139999999999</v>
      </c>
      <c r="DT159" s="296">
        <f t="shared" si="29"/>
        <v>93.614184100000003</v>
      </c>
      <c r="DU159" s="14"/>
    </row>
    <row r="160" spans="1:125" ht="15.6" customHeight="1" x14ac:dyDescent="0.3">
      <c r="A160" s="4"/>
      <c r="B160" s="365"/>
      <c r="C160" s="369" t="s">
        <v>604</v>
      </c>
      <c r="D160" s="370" t="s">
        <v>605</v>
      </c>
      <c r="E160" s="371" t="s">
        <v>606</v>
      </c>
      <c r="F160" s="252">
        <f t="shared" ca="1" si="0"/>
        <v>0.89900000000000002</v>
      </c>
      <c r="G160" s="252" t="str">
        <f ca="1">IF(OR(FLSCR="ERROR",FLSPI="ERROR"),"No",IF(TODAY()-'Look Ups'!$D$4*365&gt;I160,"WP Applied","Yes"))</f>
        <v>WP Applied</v>
      </c>
      <c r="H160" s="253" t="str">
        <f t="shared" si="1"/>
        <v>Main-Genoa-Screacher (Upwind)-Spinnaker</v>
      </c>
      <c r="I160" s="1">
        <v>40067</v>
      </c>
      <c r="J160" s="1">
        <v>40798</v>
      </c>
      <c r="K160" s="87" t="s">
        <v>607</v>
      </c>
      <c r="L160" s="87" t="s">
        <v>241</v>
      </c>
      <c r="M160" s="207"/>
      <c r="N160" s="88" t="s">
        <v>143</v>
      </c>
      <c r="O160" s="88"/>
      <c r="P160" s="89"/>
      <c r="Q160" s="90">
        <v>9.1999999999999993</v>
      </c>
      <c r="R160" s="87"/>
      <c r="S160" s="256">
        <f t="shared" si="2"/>
        <v>0.22999999999999998</v>
      </c>
      <c r="T160" s="117">
        <v>0.125</v>
      </c>
      <c r="U160" s="117">
        <v>0</v>
      </c>
      <c r="V160" s="258">
        <f t="shared" si="3"/>
        <v>9.0749999999999993</v>
      </c>
      <c r="W160" s="259">
        <f>IF(RL&gt;0,IF(RL&gt;'Look Ups'!Y$7,'Look Ups'!Y$8,('Look Ups'!Y$3*RL^3+'Look Ups'!Y$4*RL^2+'Look Ups'!Y$5*RL+'Look Ups'!Y$6)),0)</f>
        <v>0.29682807579687503</v>
      </c>
      <c r="X160" s="92">
        <f>2270</f>
        <v>2270</v>
      </c>
      <c r="Y160" s="263">
        <f ca="1">IF(WDATE&lt;(TODAY()-'Look Ups'!$D$4*365),-WM*'Look Ups'!$D$5/100,0)</f>
        <v>-340.5</v>
      </c>
      <c r="Z160" s="103"/>
      <c r="AA160" s="109"/>
      <c r="AB160" s="109"/>
      <c r="AC160" s="265">
        <f>WCD+NC*'Look Ups'!$AF$3</f>
        <v>0</v>
      </c>
      <c r="AD160" s="265">
        <f ca="1">IF(RL&lt;'Look Ups'!AM$3,'Look Ups'!AM$4,IF(RL&gt;'Look Ups'!AM$5,'Look Ups'!AM$6,(RL-'Look Ups'!AM$3)/('Look Ups'!AM$5-'Look Ups'!AM$3)*('Look Ups'!AM$6-'Look Ups'!AM$4)+'Look Ups'!AM$4))/100*WS</f>
        <v>412.21136363636373</v>
      </c>
      <c r="AE160" s="269">
        <f t="shared" ca="1" si="4"/>
        <v>1929.5</v>
      </c>
      <c r="AF160" s="267">
        <f t="shared" ca="1" si="5"/>
        <v>1929.5</v>
      </c>
      <c r="AG160" s="94" t="s">
        <v>145</v>
      </c>
      <c r="AH160" s="95" t="s">
        <v>146</v>
      </c>
      <c r="AI160" s="96" t="s">
        <v>147</v>
      </c>
      <c r="AJ160" s="218"/>
      <c r="AK160" s="273">
        <f>IF(C160="",0,VLOOKUP(AG160,'Look Ups'!$F$3:$G$6,2,0)*VLOOKUP(AH160,'Look Ups'!$I$3:$J$5,2,0)*VLOOKUP(AI160,'Look Ups'!$L$3:$M$7,2,0)*IF(AJ160="",1,VLOOKUP(AJ160,'Look Ups'!$O$3:$P$4,2,0)))</f>
        <v>1</v>
      </c>
      <c r="AL160" s="83">
        <v>12.23</v>
      </c>
      <c r="AM160" s="91">
        <v>11.9</v>
      </c>
      <c r="AN160" s="91">
        <v>4.03</v>
      </c>
      <c r="AO160" s="91">
        <v>1.54</v>
      </c>
      <c r="AP160" s="91">
        <v>0.48</v>
      </c>
      <c r="AQ160" s="91">
        <v>11.96</v>
      </c>
      <c r="AR160" s="91">
        <v>0.19</v>
      </c>
      <c r="AS160" s="91">
        <v>4.16</v>
      </c>
      <c r="AT160" s="91">
        <v>0.03</v>
      </c>
      <c r="AU160" s="91"/>
      <c r="AV160" s="91" t="s">
        <v>148</v>
      </c>
      <c r="AW160" s="97" t="s">
        <v>608</v>
      </c>
      <c r="AX160" s="256">
        <f t="shared" si="6"/>
        <v>11.99</v>
      </c>
      <c r="AY160" s="256">
        <f t="shared" si="7"/>
        <v>0</v>
      </c>
      <c r="AZ160" s="275">
        <f>IF(C160="",0,(0.5*(_ML1*LPM)+0.5*(_ML1*HB)+0.66*(P*PR)+0.66*(_ML2*RDM)+0.66*(E*ER))*VLOOKUP(BATT,'Look Ups'!$U$3:$V$4,2,0))</f>
        <v>39.412622000000006</v>
      </c>
      <c r="BA160" s="98"/>
      <c r="BB160" s="99"/>
      <c r="BC160" s="83">
        <v>10.5</v>
      </c>
      <c r="BD160" s="91">
        <v>4.38</v>
      </c>
      <c r="BE160" s="91">
        <v>4.84</v>
      </c>
      <c r="BF160" s="91">
        <v>0.1</v>
      </c>
      <c r="BG160" s="91">
        <v>9.4700000000000006</v>
      </c>
      <c r="BH160" s="91"/>
      <c r="BI160" s="91"/>
      <c r="BJ160" s="91">
        <v>-0.21</v>
      </c>
      <c r="BK160" s="91">
        <v>0.03</v>
      </c>
      <c r="BL160" s="97">
        <v>0</v>
      </c>
      <c r="BM160" s="275">
        <f t="shared" si="8"/>
        <v>22.209797999999999</v>
      </c>
      <c r="BN160" s="319"/>
      <c r="BO160" s="320"/>
      <c r="BP160" s="321"/>
      <c r="BQ160" s="321"/>
      <c r="BR160" s="320"/>
      <c r="BS160" s="321"/>
      <c r="BT160" s="321"/>
      <c r="BU160" s="280">
        <f t="shared" si="9"/>
        <v>0</v>
      </c>
      <c r="BV160" s="322"/>
      <c r="BW160" s="320"/>
      <c r="BX160" s="320"/>
      <c r="BY160" s="320"/>
      <c r="BZ160" s="320"/>
      <c r="CA160" s="320"/>
      <c r="CB160" s="320"/>
      <c r="CC160" s="275">
        <f t="shared" si="10"/>
        <v>0</v>
      </c>
      <c r="CD160" s="98">
        <v>9.02</v>
      </c>
      <c r="CE160" s="91">
        <v>13.81</v>
      </c>
      <c r="CF160" s="91">
        <v>11.68</v>
      </c>
      <c r="CG160" s="91">
        <v>8.8000000000000007</v>
      </c>
      <c r="CH160" s="266">
        <f t="shared" si="11"/>
        <v>97.560975609756113</v>
      </c>
      <c r="CI160" s="320"/>
      <c r="CJ160" s="280">
        <f t="shared" si="12"/>
        <v>93.930650000000014</v>
      </c>
      <c r="CK160" s="83">
        <v>6.47</v>
      </c>
      <c r="CL160" s="91">
        <v>12.35</v>
      </c>
      <c r="CM160" s="91">
        <v>10.44</v>
      </c>
      <c r="CN160" s="91">
        <v>3.3</v>
      </c>
      <c r="CO160" s="256">
        <f t="shared" si="13"/>
        <v>51.004636785162283</v>
      </c>
      <c r="CP160" s="320"/>
      <c r="CQ160" s="256">
        <f t="shared" si="14"/>
        <v>37.356608333333327</v>
      </c>
      <c r="CR160" s="256" t="str">
        <f>IF(CO160&lt;'Look Ups'!$AC$4,"Yes","No")</f>
        <v>Yes</v>
      </c>
      <c r="CS160" s="293">
        <f>IF(CR160="Yes",MIN(150,('Look Ups'!$AC$4-PSCR)/('Look Ups'!$AC$4-'Look Ups'!$AC$3)*100),0)</f>
        <v>19.907264296754335</v>
      </c>
      <c r="CT160" s="83"/>
      <c r="CU160" s="91"/>
      <c r="CV160" s="91"/>
      <c r="CW160" s="91"/>
      <c r="CX160" s="256" t="str">
        <f t="shared" si="15"/>
        <v/>
      </c>
      <c r="CY160" s="293">
        <f>IF(PUSCR&lt;'Look Ups'!$AC$4,MIN(150,('Look Ups'!$AC$4-PUSCR)/('Look Ups'!$AC$4-'Look Ups'!$AC$3)*100),0)</f>
        <v>0</v>
      </c>
      <c r="CZ160" s="275">
        <f>IF(PUSCR&lt;'Look Ups'!$AC$4,USCRF*(USCRL1+USCRL2)/4+(USCRMG-USCRF/2)*(USCRL1+USCRL2)/3,0)</f>
        <v>0</v>
      </c>
      <c r="DA160" s="294">
        <f t="shared" si="16"/>
        <v>1</v>
      </c>
      <c r="DB160" s="256">
        <f t="shared" si="17"/>
        <v>39.412622000000006</v>
      </c>
      <c r="DC160" s="256">
        <f t="shared" si="18"/>
        <v>1</v>
      </c>
      <c r="DD160" s="256">
        <f t="shared" si="19"/>
        <v>22.209797999999999</v>
      </c>
      <c r="DE160" s="256">
        <f>IF(AZ160&gt;0,'Look Ups'!$S$3,0)</f>
        <v>1</v>
      </c>
      <c r="DF160" s="256">
        <f t="shared" si="20"/>
        <v>0</v>
      </c>
      <c r="DG160" s="256">
        <f t="shared" si="21"/>
        <v>0</v>
      </c>
      <c r="DH160" s="256">
        <f t="shared" si="22"/>
        <v>0</v>
      </c>
      <c r="DI160" s="280">
        <f t="shared" si="23"/>
        <v>0</v>
      </c>
      <c r="DJ160" s="295" t="str">
        <f t="shared" si="24"/>
        <v>valid</v>
      </c>
      <c r="DK160" s="266" t="str">
        <f t="shared" si="25"/>
        <v>valid</v>
      </c>
      <c r="DL160" s="267" t="str">
        <f t="shared" si="26"/>
        <v>MGScrSP</v>
      </c>
      <c r="DM160" s="294">
        <f t="shared" si="27"/>
        <v>61.622420000000005</v>
      </c>
      <c r="DN160" s="256">
        <f>IF(MSASP&gt;0,'Look Ups'!$AI$4*(ZVAL*MSASP-RSAG),0)</f>
        <v>21.516255600000001</v>
      </c>
      <c r="DO160" s="256">
        <f>IF(AND(MSASC&gt;0,(MSASC&gt;=0.36*RSAM)),('Look Ups'!$AI$3*(ZVAL*MSASC-RSAG)),(0))</f>
        <v>5.3013836166666639</v>
      </c>
      <c r="DP160" s="256">
        <f>IF(MSASP&gt;0,'Look Ups'!$AI$5*(ZVAL*MSASP-RSAG),0)</f>
        <v>20.081838560000005</v>
      </c>
      <c r="DQ160" s="256">
        <f>IF(MSASC&gt;0,'Look Ups'!$AI$6*(MSASC-RSAG),0)</f>
        <v>1.060276723333333</v>
      </c>
      <c r="DR160" s="280">
        <f>'Look Ups'!$AI$7*MAX(IF(MSAUSC&gt;0,EUSC/100*(MSAUSC-RSAG),0),IF(CR160="Yes",ELSC/100*(MSASC-RSAG),0))</f>
        <v>0.75382889139619047</v>
      </c>
      <c r="DS160" s="280">
        <f t="shared" si="28"/>
        <v>14.188543920000003</v>
      </c>
      <c r="DT160" s="296">
        <f t="shared" si="29"/>
        <v>83.518364174729541</v>
      </c>
      <c r="DU160" s="14"/>
    </row>
    <row r="161" spans="1:125" ht="15.6" customHeight="1" x14ac:dyDescent="0.3">
      <c r="A161" s="4"/>
      <c r="B161" s="365"/>
      <c r="C161" s="369" t="s">
        <v>609</v>
      </c>
      <c r="D161" s="370" t="s">
        <v>610</v>
      </c>
      <c r="E161" s="371" t="s">
        <v>611</v>
      </c>
      <c r="F161" s="252">
        <f t="shared" ca="1" si="0"/>
        <v>0.90200000000000002</v>
      </c>
      <c r="G161" s="252" t="str">
        <f ca="1">IF(OR(FLSCR="ERROR",FLSPI="ERROR"),"No",IF(TODAY()-'Look Ups'!$D$4*365&gt;I161,"WP Applied","Yes"))</f>
        <v>WP Applied</v>
      </c>
      <c r="H161" s="253" t="str">
        <f t="shared" si="1"/>
        <v>Main-Genoa-Screacher (Upwind)-Spinnaker</v>
      </c>
      <c r="I161" s="1">
        <v>36699</v>
      </c>
      <c r="J161" s="1"/>
      <c r="K161" s="87" t="s">
        <v>176</v>
      </c>
      <c r="L161" s="87" t="s">
        <v>589</v>
      </c>
      <c r="M161" s="207"/>
      <c r="N161" s="88" t="s">
        <v>271</v>
      </c>
      <c r="O161" s="88"/>
      <c r="P161" s="89">
        <v>6.9</v>
      </c>
      <c r="Q161" s="90">
        <v>9.4600000000000009</v>
      </c>
      <c r="R161" s="87"/>
      <c r="S161" s="256">
        <f t="shared" si="2"/>
        <v>0.23650000000000004</v>
      </c>
      <c r="T161" s="117">
        <v>0.05</v>
      </c>
      <c r="U161" s="117">
        <v>0</v>
      </c>
      <c r="V161" s="258">
        <f t="shared" si="3"/>
        <v>9.41</v>
      </c>
      <c r="W161" s="259">
        <f>IF(RL&gt;0,IF(RL&gt;'Look Ups'!Y$7,'Look Ups'!Y$8,('Look Ups'!Y$3*RL^3+'Look Ups'!Y$4*RL^2+'Look Ups'!Y$5*RL+'Look Ups'!Y$6)),0)</f>
        <v>0.29752450149300003</v>
      </c>
      <c r="X161" s="92">
        <v>1932</v>
      </c>
      <c r="Y161" s="263">
        <f ca="1">IF(WDATE&lt;(TODAY()-'Look Ups'!$D$4*365),-WM*'Look Ups'!$D$5/100,0)</f>
        <v>-289.8</v>
      </c>
      <c r="Z161" s="103"/>
      <c r="AA161" s="109"/>
      <c r="AB161" s="109"/>
      <c r="AC161" s="265">
        <f>WCD+NC*'Look Ups'!$AF$3</f>
        <v>0</v>
      </c>
      <c r="AD161" s="265">
        <f ca="1">IF(RL&lt;'Look Ups'!AM$3,'Look Ups'!AM$4,IF(RL&gt;'Look Ups'!AM$5,'Look Ups'!AM$6,(RL-'Look Ups'!AM$3)/('Look Ups'!AM$5-'Look Ups'!AM$3)*('Look Ups'!AM$6-'Look Ups'!AM$4)+'Look Ups'!AM$4))/100*WS</f>
        <v>330.82865454545453</v>
      </c>
      <c r="AE161" s="269">
        <f t="shared" ca="1" si="4"/>
        <v>1642.2</v>
      </c>
      <c r="AF161" s="267">
        <f t="shared" ca="1" si="5"/>
        <v>1642.2</v>
      </c>
      <c r="AG161" s="94" t="s">
        <v>145</v>
      </c>
      <c r="AH161" s="95" t="s">
        <v>146</v>
      </c>
      <c r="AI161" s="96" t="s">
        <v>147</v>
      </c>
      <c r="AJ161" s="218"/>
      <c r="AK161" s="273">
        <f>IF(C161="",0,VLOOKUP(AG161,'Look Ups'!$F$3:$G$6,2,0)*VLOOKUP(AH161,'Look Ups'!$I$3:$J$5,2,0)*VLOOKUP(AI161,'Look Ups'!$L$3:$M$7,2,0)*IF(AJ161="",1,VLOOKUP(AJ161,'Look Ups'!$O$3:$P$4,2,0)))</f>
        <v>1</v>
      </c>
      <c r="AL161" s="83">
        <v>11.78</v>
      </c>
      <c r="AM161" s="91">
        <v>11.72</v>
      </c>
      <c r="AN161" s="91">
        <v>4.0999999999999996</v>
      </c>
      <c r="AO161" s="91">
        <v>0.1</v>
      </c>
      <c r="AP161" s="91">
        <v>1.3</v>
      </c>
      <c r="AQ161" s="91">
        <v>11.04</v>
      </c>
      <c r="AR161" s="91">
        <v>0.18</v>
      </c>
      <c r="AS161" s="91">
        <v>4.3</v>
      </c>
      <c r="AT161" s="91">
        <v>0.11</v>
      </c>
      <c r="AU161" s="91"/>
      <c r="AV161" s="91" t="s">
        <v>148</v>
      </c>
      <c r="AW161" s="97">
        <v>0</v>
      </c>
      <c r="AX161" s="256">
        <f t="shared" si="6"/>
        <v>11.149999999999999</v>
      </c>
      <c r="AY161" s="256">
        <f t="shared" si="7"/>
        <v>0</v>
      </c>
      <c r="AZ161" s="275">
        <f>IF(C161="",0,(0.5*(_ML1*LPM)+0.5*(_ML1*HB)+0.66*(P*PR)+0.66*(_ML2*RDM)+0.66*(E*ER))*VLOOKUP(BATT,'Look Ups'!$U$3:$V$4,2,0))</f>
        <v>36.417491999999996</v>
      </c>
      <c r="BA161" s="98"/>
      <c r="BB161" s="99"/>
      <c r="BC161" s="83">
        <v>10.72</v>
      </c>
      <c r="BD161" s="91">
        <v>3.44</v>
      </c>
      <c r="BE161" s="91">
        <v>3.88</v>
      </c>
      <c r="BF161" s="91">
        <v>0.16</v>
      </c>
      <c r="BG161" s="91">
        <v>9.6999999999999993</v>
      </c>
      <c r="BH161" s="91"/>
      <c r="BI161" s="91"/>
      <c r="BJ161" s="91">
        <v>0.15</v>
      </c>
      <c r="BK161" s="91">
        <v>-7.0000000000000007E-2</v>
      </c>
      <c r="BL161" s="97"/>
      <c r="BM161" s="275">
        <f t="shared" si="8"/>
        <v>19.313164000000004</v>
      </c>
      <c r="BN161" s="319"/>
      <c r="BO161" s="320"/>
      <c r="BP161" s="321"/>
      <c r="BQ161" s="321"/>
      <c r="BR161" s="320"/>
      <c r="BS161" s="321"/>
      <c r="BT161" s="321"/>
      <c r="BU161" s="280">
        <f t="shared" si="9"/>
        <v>0</v>
      </c>
      <c r="BV161" s="322"/>
      <c r="BW161" s="320"/>
      <c r="BX161" s="320"/>
      <c r="BY161" s="320"/>
      <c r="BZ161" s="320"/>
      <c r="CA161" s="320"/>
      <c r="CB161" s="320"/>
      <c r="CC161" s="275">
        <f t="shared" si="10"/>
        <v>0</v>
      </c>
      <c r="CD161" s="98">
        <v>8.19</v>
      </c>
      <c r="CE161" s="91">
        <v>12.1</v>
      </c>
      <c r="CF161" s="91">
        <v>10.36</v>
      </c>
      <c r="CG161" s="91">
        <v>6.23</v>
      </c>
      <c r="CH161" s="266">
        <f t="shared" si="11"/>
        <v>76.068376068376082</v>
      </c>
      <c r="CI161" s="320"/>
      <c r="CJ161" s="280">
        <f t="shared" si="12"/>
        <v>61.970883333333333</v>
      </c>
      <c r="CK161" s="83">
        <v>8.3800000000000008</v>
      </c>
      <c r="CL161" s="91">
        <v>11.66</v>
      </c>
      <c r="CM161" s="91">
        <v>9.9600000000000009</v>
      </c>
      <c r="CN161" s="91">
        <v>4.22</v>
      </c>
      <c r="CO161" s="256">
        <f t="shared" si="13"/>
        <v>50.357995226730303</v>
      </c>
      <c r="CP161" s="320"/>
      <c r="CQ161" s="256">
        <f t="shared" si="14"/>
        <v>45.510100000000001</v>
      </c>
      <c r="CR161" s="256" t="str">
        <f>IF(CO161&lt;'Look Ups'!$AC$4,"Yes","No")</f>
        <v>Yes</v>
      </c>
      <c r="CS161" s="293">
        <f>IF(CR161="Yes",MIN(150,('Look Ups'!$AC$4-PSCR)/('Look Ups'!$AC$4-'Look Ups'!$AC$3)*100),0)</f>
        <v>32.840095465393944</v>
      </c>
      <c r="CT161" s="83"/>
      <c r="CU161" s="91"/>
      <c r="CV161" s="91"/>
      <c r="CW161" s="91"/>
      <c r="CX161" s="256" t="str">
        <f t="shared" si="15"/>
        <v/>
      </c>
      <c r="CY161" s="293">
        <f>IF(PUSCR&lt;'Look Ups'!$AC$4,MIN(150,('Look Ups'!$AC$4-PUSCR)/('Look Ups'!$AC$4-'Look Ups'!$AC$3)*100),0)</f>
        <v>0</v>
      </c>
      <c r="CZ161" s="275">
        <f>IF(PUSCR&lt;'Look Ups'!$AC$4,USCRF*(USCRL1+USCRL2)/4+(USCRMG-USCRF/2)*(USCRL1+USCRL2)/3,0)</f>
        <v>0</v>
      </c>
      <c r="DA161" s="294">
        <f t="shared" si="16"/>
        <v>1</v>
      </c>
      <c r="DB161" s="256">
        <f t="shared" si="17"/>
        <v>36.417491999999996</v>
      </c>
      <c r="DC161" s="256">
        <f t="shared" si="18"/>
        <v>1</v>
      </c>
      <c r="DD161" s="256">
        <f t="shared" si="19"/>
        <v>19.313164000000004</v>
      </c>
      <c r="DE161" s="256">
        <f>IF(AZ161&gt;0,'Look Ups'!$S$3,0)</f>
        <v>1</v>
      </c>
      <c r="DF161" s="256">
        <f t="shared" si="20"/>
        <v>0</v>
      </c>
      <c r="DG161" s="256">
        <f t="shared" si="21"/>
        <v>0</v>
      </c>
      <c r="DH161" s="256">
        <f t="shared" si="22"/>
        <v>0</v>
      </c>
      <c r="DI161" s="280">
        <f t="shared" si="23"/>
        <v>0</v>
      </c>
      <c r="DJ161" s="295" t="str">
        <f t="shared" si="24"/>
        <v>valid</v>
      </c>
      <c r="DK161" s="266" t="str">
        <f t="shared" si="25"/>
        <v>valid</v>
      </c>
      <c r="DL161" s="267" t="str">
        <f t="shared" si="26"/>
        <v>MGScrSP</v>
      </c>
      <c r="DM161" s="294">
        <f t="shared" si="27"/>
        <v>55.730655999999996</v>
      </c>
      <c r="DN161" s="256">
        <f>IF(MSASP&gt;0,'Look Ups'!$AI$4*(ZVAL*MSASP-RSAG),0)</f>
        <v>12.7973158</v>
      </c>
      <c r="DO161" s="256">
        <f>IF(AND(MSASC&gt;0,(MSASC&gt;=0.36*RSAM)),('Look Ups'!$AI$3*(ZVAL*MSASC-RSAG)),(0))</f>
        <v>9.1689275999999982</v>
      </c>
      <c r="DP161" s="256">
        <f>IF(MSASP&gt;0,'Look Ups'!$AI$5*(ZVAL*MSASP-RSAG),0)</f>
        <v>11.944161413333335</v>
      </c>
      <c r="DQ161" s="256">
        <f>IF(MSASC&gt;0,'Look Ups'!$AI$6*(MSASC-RSAG),0)</f>
        <v>1.8337855199999999</v>
      </c>
      <c r="DR161" s="280">
        <f>'Look Ups'!$AI$7*MAX(IF(MSAUSC&gt;0,EUSC/100*(MSAUSC-RSAG),0),IF(CR161="Yes",ELSC/100*(MSASC-RSAG),0))</f>
        <v>2.1507746978520381</v>
      </c>
      <c r="DS161" s="280">
        <f t="shared" si="28"/>
        <v>13.110297119999998</v>
      </c>
      <c r="DT161" s="296">
        <f t="shared" si="29"/>
        <v>71.659377631185379</v>
      </c>
      <c r="DU161" s="14"/>
    </row>
    <row r="162" spans="1:125" ht="15.6" customHeight="1" x14ac:dyDescent="0.3">
      <c r="A162" s="4"/>
      <c r="B162" s="365"/>
      <c r="C162" s="369" t="s">
        <v>612</v>
      </c>
      <c r="D162" s="370" t="s">
        <v>613</v>
      </c>
      <c r="E162" s="371" t="s">
        <v>614</v>
      </c>
      <c r="F162" s="252">
        <f t="shared" ca="1" si="0"/>
        <v>0.84499999999999997</v>
      </c>
      <c r="G162" s="252" t="str">
        <f ca="1">IF(OR(FLSCR="ERROR",FLSPI="ERROR"),"No",IF(TODAY()-'Look Ups'!$D$4*365&gt;I162,"WP Applied","Yes"))</f>
        <v>WP Applied</v>
      </c>
      <c r="H162" s="253" t="str">
        <f t="shared" si="1"/>
        <v>Main-Genoa-Spinnaker</v>
      </c>
      <c r="I162" s="1">
        <v>35878</v>
      </c>
      <c r="J162" s="1"/>
      <c r="K162" s="87" t="s">
        <v>176</v>
      </c>
      <c r="L162" s="87" t="s">
        <v>589</v>
      </c>
      <c r="M162" s="207"/>
      <c r="N162" s="88" t="s">
        <v>165</v>
      </c>
      <c r="O162" s="88"/>
      <c r="P162" s="89">
        <v>6.7</v>
      </c>
      <c r="Q162" s="90">
        <v>12.41</v>
      </c>
      <c r="R162" s="87"/>
      <c r="S162" s="256">
        <f t="shared" si="2"/>
        <v>0.31025000000000003</v>
      </c>
      <c r="T162" s="117">
        <v>0.64</v>
      </c>
      <c r="U162" s="117">
        <v>0</v>
      </c>
      <c r="V162" s="258">
        <f t="shared" si="3"/>
        <v>11.77</v>
      </c>
      <c r="W162" s="259">
        <f>IF(RL&gt;0,IF(RL&gt;'Look Ups'!Y$7,'Look Ups'!Y$8,('Look Ups'!Y$3*RL^3+'Look Ups'!Y$4*RL^2+'Look Ups'!Y$5*RL+'Look Ups'!Y$6)),0)</f>
        <v>0.29987650368899998</v>
      </c>
      <c r="X162" s="92">
        <v>4435</v>
      </c>
      <c r="Y162" s="263">
        <f ca="1">IF(WDATE&lt;(TODAY()-'Look Ups'!$D$4*365),-WM*'Look Ups'!$D$5/100,0)</f>
        <v>-665.25</v>
      </c>
      <c r="Z162" s="103"/>
      <c r="AA162" s="109"/>
      <c r="AB162" s="109"/>
      <c r="AC162" s="265">
        <f>WCD+NC*'Look Ups'!$AF$3</f>
        <v>0</v>
      </c>
      <c r="AD162" s="265">
        <f ca="1">IF(RL&lt;'Look Ups'!AM$3,'Look Ups'!AM$4,IF(RL&gt;'Look Ups'!AM$5,'Look Ups'!AM$6,(RL-'Look Ups'!AM$3)/('Look Ups'!AM$5-'Look Ups'!AM$3)*('Look Ups'!AM$6-'Look Ups'!AM$4)+'Look Ups'!AM$4))/100*WS</f>
        <v>435.92018181818173</v>
      </c>
      <c r="AE162" s="269">
        <f t="shared" ca="1" si="4"/>
        <v>3769.75</v>
      </c>
      <c r="AF162" s="267">
        <f t="shared" ca="1" si="5"/>
        <v>3769.75</v>
      </c>
      <c r="AG162" s="94" t="s">
        <v>145</v>
      </c>
      <c r="AH162" s="95" t="s">
        <v>146</v>
      </c>
      <c r="AI162" s="96" t="s">
        <v>177</v>
      </c>
      <c r="AJ162" s="218"/>
      <c r="AK162" s="273">
        <f>IF(C162="",0,VLOOKUP(AG162,'Look Ups'!$F$3:$G$6,2,0)*VLOOKUP(AH162,'Look Ups'!$I$3:$J$5,2,0)*VLOOKUP(AI162,'Look Ups'!$L$3:$M$7,2,0)*IF(AJ162="",1,VLOOKUP(AJ162,'Look Ups'!$O$3:$P$4,2,0)))</f>
        <v>0.99</v>
      </c>
      <c r="AL162" s="83">
        <v>13.72</v>
      </c>
      <c r="AM162" s="91">
        <v>13.66</v>
      </c>
      <c r="AN162" s="91">
        <v>4.24</v>
      </c>
      <c r="AO162" s="91">
        <v>0.17</v>
      </c>
      <c r="AP162" s="91">
        <v>1.33</v>
      </c>
      <c r="AQ162" s="91">
        <v>13.13</v>
      </c>
      <c r="AR162" s="91">
        <v>0.22</v>
      </c>
      <c r="AS162" s="91">
        <v>4.4400000000000004</v>
      </c>
      <c r="AT162" s="91">
        <v>0.06</v>
      </c>
      <c r="AU162" s="91">
        <v>0.54</v>
      </c>
      <c r="AV162" s="91" t="s">
        <v>148</v>
      </c>
      <c r="AW162" s="97">
        <v>0</v>
      </c>
      <c r="AX162" s="256">
        <f t="shared" si="6"/>
        <v>13.190000000000001</v>
      </c>
      <c r="AY162" s="256">
        <f t="shared" si="7"/>
        <v>2.6588250000000002</v>
      </c>
      <c r="AZ162" s="275">
        <f>IF(C162="",0,(0.5*(_ML1*LPM)+0.5*(_ML1*HB)+0.66*(P*PR)+0.66*(_ML2*RDM)+0.66*(E*ER))*VLOOKUP(BATT,'Look Ups'!$U$3:$V$4,2,0))</f>
        <v>44.325647999999994</v>
      </c>
      <c r="BA162" s="98"/>
      <c r="BB162" s="99"/>
      <c r="BC162" s="83">
        <v>12.17</v>
      </c>
      <c r="BD162" s="91">
        <v>4.3600000000000003</v>
      </c>
      <c r="BE162" s="91">
        <v>4.71</v>
      </c>
      <c r="BF162" s="91">
        <v>0.04</v>
      </c>
      <c r="BG162" s="91">
        <v>10.92</v>
      </c>
      <c r="BH162" s="91"/>
      <c r="BI162" s="91"/>
      <c r="BJ162" s="91">
        <v>-0.38</v>
      </c>
      <c r="BK162" s="91">
        <v>0</v>
      </c>
      <c r="BL162" s="97"/>
      <c r="BM162" s="275">
        <f t="shared" si="8"/>
        <v>23.916208000000005</v>
      </c>
      <c r="BN162" s="319"/>
      <c r="BO162" s="320"/>
      <c r="BP162" s="321"/>
      <c r="BQ162" s="321"/>
      <c r="BR162" s="320"/>
      <c r="BS162" s="321"/>
      <c r="BT162" s="321"/>
      <c r="BU162" s="280">
        <f t="shared" si="9"/>
        <v>0</v>
      </c>
      <c r="BV162" s="322"/>
      <c r="BW162" s="320"/>
      <c r="BX162" s="320"/>
      <c r="BY162" s="320"/>
      <c r="BZ162" s="320"/>
      <c r="CA162" s="320"/>
      <c r="CB162" s="320"/>
      <c r="CC162" s="275">
        <f t="shared" si="10"/>
        <v>0</v>
      </c>
      <c r="CD162" s="98">
        <v>10.94</v>
      </c>
      <c r="CE162" s="91">
        <v>15.24</v>
      </c>
      <c r="CF162" s="91">
        <v>15.29</v>
      </c>
      <c r="CG162" s="91">
        <v>9.86</v>
      </c>
      <c r="CH162" s="266">
        <f t="shared" si="11"/>
        <v>90.127970749542968</v>
      </c>
      <c r="CI162" s="320"/>
      <c r="CJ162" s="280">
        <f t="shared" si="12"/>
        <v>128.17511666666667</v>
      </c>
      <c r="CK162" s="83"/>
      <c r="CL162" s="91">
        <v>7.2</v>
      </c>
      <c r="CM162" s="91">
        <v>14</v>
      </c>
      <c r="CN162" s="91">
        <v>12.1</v>
      </c>
      <c r="CO162" s="256" t="str">
        <f t="shared" si="13"/>
        <v/>
      </c>
      <c r="CP162" s="320"/>
      <c r="CQ162" s="256">
        <f t="shared" si="14"/>
        <v>85.506666666666661</v>
      </c>
      <c r="CR162" s="256" t="str">
        <f>IF(CO162&lt;'Look Ups'!$AC$4,"Yes","No")</f>
        <v>No</v>
      </c>
      <c r="CS162" s="293">
        <f>IF(CR162="Yes",MIN(150,('Look Ups'!$AC$4-PSCR)/('Look Ups'!$AC$4-'Look Ups'!$AC$3)*100),0)</f>
        <v>0</v>
      </c>
      <c r="CT162" s="83"/>
      <c r="CU162" s="91"/>
      <c r="CV162" s="91"/>
      <c r="CW162" s="91"/>
      <c r="CX162" s="256" t="str">
        <f t="shared" si="15"/>
        <v/>
      </c>
      <c r="CY162" s="293">
        <f>IF(PUSCR&lt;'Look Ups'!$AC$4,MIN(150,('Look Ups'!$AC$4-PUSCR)/('Look Ups'!$AC$4-'Look Ups'!$AC$3)*100),0)</f>
        <v>0</v>
      </c>
      <c r="CZ162" s="275">
        <f>IF(PUSCR&lt;'Look Ups'!$AC$4,USCRF*(USCRL1+USCRL2)/4+(USCRMG-USCRF/2)*(USCRL1+USCRL2)/3,0)</f>
        <v>0</v>
      </c>
      <c r="DA162" s="294">
        <f t="shared" si="16"/>
        <v>1</v>
      </c>
      <c r="DB162" s="256">
        <f t="shared" si="17"/>
        <v>46.984472999999994</v>
      </c>
      <c r="DC162" s="256">
        <f t="shared" si="18"/>
        <v>1</v>
      </c>
      <c r="DD162" s="256">
        <f t="shared" si="19"/>
        <v>23.916208000000005</v>
      </c>
      <c r="DE162" s="256">
        <f>IF(AZ162&gt;0,'Look Ups'!$S$3,0)</f>
        <v>1</v>
      </c>
      <c r="DF162" s="256">
        <f t="shared" si="20"/>
        <v>0</v>
      </c>
      <c r="DG162" s="256">
        <f t="shared" si="21"/>
        <v>0</v>
      </c>
      <c r="DH162" s="256">
        <f t="shared" si="22"/>
        <v>0</v>
      </c>
      <c r="DI162" s="280">
        <f t="shared" si="23"/>
        <v>0</v>
      </c>
      <c r="DJ162" s="295" t="str">
        <f t="shared" si="24"/>
        <v>-</v>
      </c>
      <c r="DK162" s="266" t="str">
        <f t="shared" si="25"/>
        <v>valid</v>
      </c>
      <c r="DL162" s="267" t="str">
        <f t="shared" si="26"/>
        <v>MGSP</v>
      </c>
      <c r="DM162" s="294">
        <f t="shared" si="27"/>
        <v>70.900680999999992</v>
      </c>
      <c r="DN162" s="256">
        <f>IF(MSASP&gt;0,'Look Ups'!$AI$4*(ZVAL*MSASP-RSAG),0)</f>
        <v>31.277672599999995</v>
      </c>
      <c r="DO162" s="256">
        <f>IF(AND(MSASC&gt;0,(MSASC&gt;=0.36*RSAM)),('Look Ups'!$AI$3*(ZVAL*MSASC-RSAG)),(0))</f>
        <v>21.556660533333329</v>
      </c>
      <c r="DP162" s="256">
        <f>IF(MSASP&gt;0,'Look Ups'!$AI$5*(ZVAL*MSASP-RSAG),0)</f>
        <v>29.192494426666666</v>
      </c>
      <c r="DQ162" s="256">
        <f>IF(MSASC&gt;0,'Look Ups'!$AI$6*(MSASC-RSAG),0)</f>
        <v>4.3113321066666668</v>
      </c>
      <c r="DR162" s="280">
        <f>'Look Ups'!$AI$7*MAX(IF(MSAUSC&gt;0,EUSC/100*(MSAUSC-RSAG),0),IF(CR162="Yes",ELSC/100*(MSASC-RSAG),0))</f>
        <v>0</v>
      </c>
      <c r="DS162" s="280">
        <f t="shared" si="28"/>
        <v>16.914410279999998</v>
      </c>
      <c r="DT162" s="296">
        <f t="shared" si="29"/>
        <v>102.17835359999998</v>
      </c>
      <c r="DU162" s="14"/>
    </row>
    <row r="163" spans="1:125" ht="15.6" customHeight="1" x14ac:dyDescent="0.3">
      <c r="A163" s="4"/>
      <c r="B163" s="365"/>
      <c r="C163" s="369" t="s">
        <v>615</v>
      </c>
      <c r="D163" s="370"/>
      <c r="E163" s="371" t="s">
        <v>616</v>
      </c>
      <c r="F163" s="252">
        <f t="shared" ca="1" si="0"/>
        <v>0.89300000000000002</v>
      </c>
      <c r="G163" s="252" t="str">
        <f ca="1">IF(OR(FLSCR="ERROR",FLSPI="ERROR"),"No",IF(TODAY()-'Look Ups'!$D$4*365&gt;I163,"WP Applied","Yes"))</f>
        <v>WP Applied</v>
      </c>
      <c r="H163" s="253" t="str">
        <f t="shared" si="1"/>
        <v>Main-Genoa-Spinnaker</v>
      </c>
      <c r="I163" s="1">
        <v>38970</v>
      </c>
      <c r="J163" s="1">
        <v>38970</v>
      </c>
      <c r="K163" s="87"/>
      <c r="L163" s="87"/>
      <c r="M163" s="207"/>
      <c r="N163" s="88" t="s">
        <v>165</v>
      </c>
      <c r="O163" s="88"/>
      <c r="P163" s="89"/>
      <c r="Q163" s="90">
        <v>7.33</v>
      </c>
      <c r="R163" s="87"/>
      <c r="S163" s="256">
        <f t="shared" si="2"/>
        <v>0.18325000000000002</v>
      </c>
      <c r="T163" s="117">
        <v>0.21</v>
      </c>
      <c r="U163" s="117">
        <v>0</v>
      </c>
      <c r="V163" s="258">
        <f t="shared" si="3"/>
        <v>7.12</v>
      </c>
      <c r="W163" s="259">
        <f>IF(RL&gt;0,IF(RL&gt;'Look Ups'!Y$7,'Look Ups'!Y$8,('Look Ups'!Y$3*RL^3+'Look Ups'!Y$4*RL^2+'Look Ups'!Y$5*RL+'Look Ups'!Y$6)),0)</f>
        <v>0.290278996224</v>
      </c>
      <c r="X163" s="92">
        <v>1100</v>
      </c>
      <c r="Y163" s="263">
        <f ca="1">IF(WDATE&lt;(TODAY()-'Look Ups'!$D$4*365),-WM*'Look Ups'!$D$5/100,0)</f>
        <v>-165</v>
      </c>
      <c r="Z163" s="103"/>
      <c r="AA163" s="109"/>
      <c r="AB163" s="109"/>
      <c r="AC163" s="265">
        <f>WCD+NC*'Look Ups'!$AF$3</f>
        <v>0</v>
      </c>
      <c r="AD163" s="265">
        <f ca="1">IF(RL&lt;'Look Ups'!AM$3,'Look Ups'!AM$4,IF(RL&gt;'Look Ups'!AM$5,'Look Ups'!AM$6,(RL-'Look Ups'!AM$3)/('Look Ups'!AM$5-'Look Ups'!AM$3)*('Look Ups'!AM$6-'Look Ups'!AM$4)+'Look Ups'!AM$4))/100*WS</f>
        <v>266.21999999999997</v>
      </c>
      <c r="AE163" s="269">
        <f t="shared" ca="1" si="4"/>
        <v>935</v>
      </c>
      <c r="AF163" s="267">
        <f t="shared" ca="1" si="5"/>
        <v>935</v>
      </c>
      <c r="AG163" s="94" t="s">
        <v>145</v>
      </c>
      <c r="AH163" s="95" t="s">
        <v>146</v>
      </c>
      <c r="AI163" s="96" t="s">
        <v>147</v>
      </c>
      <c r="AJ163" s="218"/>
      <c r="AK163" s="273">
        <f>IF(C163="",0,VLOOKUP(AG163,'Look Ups'!$F$3:$G$6,2,0)*VLOOKUP(AH163,'Look Ups'!$I$3:$J$5,2,0)*VLOOKUP(AI163,'Look Ups'!$L$3:$M$7,2,0)*IF(AJ163="",1,VLOOKUP(AJ163,'Look Ups'!$O$3:$P$4,2,0)))</f>
        <v>1</v>
      </c>
      <c r="AL163" s="83">
        <v>10.1</v>
      </c>
      <c r="AM163" s="91">
        <v>9.8800000000000008</v>
      </c>
      <c r="AN163" s="91">
        <v>2.89</v>
      </c>
      <c r="AO163" s="91">
        <v>0.93</v>
      </c>
      <c r="AP163" s="91">
        <v>0.52</v>
      </c>
      <c r="AQ163" s="91">
        <v>11.08</v>
      </c>
      <c r="AR163" s="91">
        <v>0.16</v>
      </c>
      <c r="AS163" s="91">
        <v>3.17</v>
      </c>
      <c r="AT163" s="91">
        <v>0</v>
      </c>
      <c r="AU163" s="91">
        <v>0</v>
      </c>
      <c r="AV163" s="91" t="s">
        <v>148</v>
      </c>
      <c r="AW163" s="97">
        <v>0</v>
      </c>
      <c r="AX163" s="256">
        <f t="shared" si="6"/>
        <v>11.08</v>
      </c>
      <c r="AY163" s="256">
        <f t="shared" si="7"/>
        <v>0</v>
      </c>
      <c r="AZ163" s="275">
        <f>IF(C163="",0,(0.5*(_ML1*LPM)+0.5*(_ML1*HB)+0.66*(P*PR)+0.66*(_ML2*RDM)+0.66*(E*ER))*VLOOKUP(BATT,'Look Ups'!$U$3:$V$4,2,0))</f>
        <v>23.851864000000003</v>
      </c>
      <c r="BA163" s="98"/>
      <c r="BB163" s="99"/>
      <c r="BC163" s="83">
        <v>9.8699999999999992</v>
      </c>
      <c r="BD163" s="91">
        <v>2.5</v>
      </c>
      <c r="BE163" s="91">
        <v>2.78</v>
      </c>
      <c r="BF163" s="91">
        <v>0.04</v>
      </c>
      <c r="BG163" s="91">
        <v>8.94</v>
      </c>
      <c r="BH163" s="91"/>
      <c r="BI163" s="91"/>
      <c r="BJ163" s="91">
        <v>-0.11</v>
      </c>
      <c r="BK163" s="91">
        <v>-0.06</v>
      </c>
      <c r="BL163" s="97">
        <v>0</v>
      </c>
      <c r="BM163" s="275">
        <f t="shared" si="8"/>
        <v>11.370995999999998</v>
      </c>
      <c r="BN163" s="319"/>
      <c r="BO163" s="320"/>
      <c r="BP163" s="321"/>
      <c r="BQ163" s="321"/>
      <c r="BR163" s="320"/>
      <c r="BS163" s="321"/>
      <c r="BT163" s="321"/>
      <c r="BU163" s="280">
        <f t="shared" si="9"/>
        <v>0</v>
      </c>
      <c r="BV163" s="322"/>
      <c r="BW163" s="320"/>
      <c r="BX163" s="320"/>
      <c r="BY163" s="320"/>
      <c r="BZ163" s="320"/>
      <c r="CA163" s="320"/>
      <c r="CB163" s="320"/>
      <c r="CC163" s="275">
        <f t="shared" si="10"/>
        <v>0</v>
      </c>
      <c r="CD163" s="98">
        <v>8</v>
      </c>
      <c r="CE163" s="91">
        <v>13.76</v>
      </c>
      <c r="CF163" s="91">
        <v>11.24</v>
      </c>
      <c r="CG163" s="91">
        <v>7.8</v>
      </c>
      <c r="CH163" s="266">
        <f t="shared" si="11"/>
        <v>97.5</v>
      </c>
      <c r="CI163" s="320"/>
      <c r="CJ163" s="280">
        <f t="shared" si="12"/>
        <v>81.666666666666671</v>
      </c>
      <c r="CK163" s="83"/>
      <c r="CL163" s="91"/>
      <c r="CM163" s="91"/>
      <c r="CN163" s="91"/>
      <c r="CO163" s="256" t="str">
        <f t="shared" si="13"/>
        <v/>
      </c>
      <c r="CP163" s="320"/>
      <c r="CQ163" s="256">
        <f t="shared" si="14"/>
        <v>0</v>
      </c>
      <c r="CR163" s="256" t="str">
        <f>IF(CO163&lt;'Look Ups'!$AC$4,"Yes","No")</f>
        <v>No</v>
      </c>
      <c r="CS163" s="293">
        <f>IF(CR163="Yes",MIN(150,('Look Ups'!$AC$4-PSCR)/('Look Ups'!$AC$4-'Look Ups'!$AC$3)*100),0)</f>
        <v>0</v>
      </c>
      <c r="CT163" s="83"/>
      <c r="CU163" s="91"/>
      <c r="CV163" s="91"/>
      <c r="CW163" s="91"/>
      <c r="CX163" s="256" t="str">
        <f t="shared" si="15"/>
        <v/>
      </c>
      <c r="CY163" s="293">
        <f>IF(PUSCR&lt;'Look Ups'!$AC$4,MIN(150,('Look Ups'!$AC$4-PUSCR)/('Look Ups'!$AC$4-'Look Ups'!$AC$3)*100),0)</f>
        <v>0</v>
      </c>
      <c r="CZ163" s="275">
        <f>IF(PUSCR&lt;'Look Ups'!$AC$4,USCRF*(USCRL1+USCRL2)/4+(USCRMG-USCRF/2)*(USCRL1+USCRL2)/3,0)</f>
        <v>0</v>
      </c>
      <c r="DA163" s="294">
        <f t="shared" si="16"/>
        <v>1</v>
      </c>
      <c r="DB163" s="256">
        <f t="shared" si="17"/>
        <v>23.851864000000003</v>
      </c>
      <c r="DC163" s="256">
        <f t="shared" si="18"/>
        <v>1</v>
      </c>
      <c r="DD163" s="256">
        <f t="shared" si="19"/>
        <v>11.370995999999998</v>
      </c>
      <c r="DE163" s="256">
        <f>IF(AZ163&gt;0,'Look Ups'!$S$3,0)</f>
        <v>1</v>
      </c>
      <c r="DF163" s="256">
        <f t="shared" si="20"/>
        <v>0</v>
      </c>
      <c r="DG163" s="256">
        <f t="shared" si="21"/>
        <v>0</v>
      </c>
      <c r="DH163" s="256">
        <f t="shared" si="22"/>
        <v>0</v>
      </c>
      <c r="DI163" s="280">
        <f t="shared" si="23"/>
        <v>0</v>
      </c>
      <c r="DJ163" s="295" t="str">
        <f t="shared" si="24"/>
        <v>-</v>
      </c>
      <c r="DK163" s="266" t="str">
        <f t="shared" si="25"/>
        <v>valid</v>
      </c>
      <c r="DL163" s="267" t="str">
        <f t="shared" si="26"/>
        <v>MGSP</v>
      </c>
      <c r="DM163" s="294">
        <f t="shared" si="27"/>
        <v>35.222859999999997</v>
      </c>
      <c r="DN163" s="256">
        <f>IF(MSASP&gt;0,'Look Ups'!$AI$4*(ZVAL*MSASP-RSAG),0)</f>
        <v>21.088701199999999</v>
      </c>
      <c r="DO163" s="256">
        <f>IF(AND(MSASC&gt;0,(MSASC&gt;=0.36*RSAM)),('Look Ups'!$AI$3*(ZVAL*MSASC-RSAG)),(0))</f>
        <v>0</v>
      </c>
      <c r="DP163" s="256">
        <f>IF(MSASP&gt;0,'Look Ups'!$AI$5*(ZVAL*MSASP-RSAG),0)</f>
        <v>19.682787786666669</v>
      </c>
      <c r="DQ163" s="256">
        <f>IF(MSASC&gt;0,'Look Ups'!$AI$6*(MSASC-RSAG),0)</f>
        <v>0</v>
      </c>
      <c r="DR163" s="280">
        <f>'Look Ups'!$AI$7*MAX(IF(MSAUSC&gt;0,EUSC/100*(MSAUSC-RSAG),0),IF(CR163="Yes",ELSC/100*(MSASC-RSAG),0))</f>
        <v>0</v>
      </c>
      <c r="DS163" s="280">
        <f t="shared" si="28"/>
        <v>8.5866710400000006</v>
      </c>
      <c r="DT163" s="296">
        <f t="shared" si="29"/>
        <v>56.3115612</v>
      </c>
      <c r="DU163" s="14"/>
    </row>
    <row r="164" spans="1:125" ht="15.6" customHeight="1" x14ac:dyDescent="0.3">
      <c r="A164" s="4"/>
      <c r="B164" s="365"/>
      <c r="C164" s="369" t="s">
        <v>617</v>
      </c>
      <c r="D164" s="370" t="s">
        <v>151</v>
      </c>
      <c r="E164" s="371" t="s">
        <v>618</v>
      </c>
      <c r="F164" s="252">
        <f t="shared" ca="1" si="0"/>
        <v>0.85899999999999999</v>
      </c>
      <c r="G164" s="252" t="str">
        <f ca="1">IF(OR(FLSCR="ERROR",FLSPI="ERROR"),"No",IF(TODAY()-'Look Ups'!$D$4*365&gt;I164,"WP Applied","Yes"))</f>
        <v>WP Applied</v>
      </c>
      <c r="H164" s="253" t="str">
        <f t="shared" si="1"/>
        <v>Main-Genoa-Screacher (Upwind)-Spinnaker</v>
      </c>
      <c r="I164" s="1">
        <v>40493</v>
      </c>
      <c r="J164" s="1">
        <v>40798</v>
      </c>
      <c r="K164" s="87" t="s">
        <v>244</v>
      </c>
      <c r="L164" s="87" t="s">
        <v>170</v>
      </c>
      <c r="M164" s="207"/>
      <c r="N164" s="88" t="s">
        <v>143</v>
      </c>
      <c r="O164" s="88" t="s">
        <v>154</v>
      </c>
      <c r="P164" s="89"/>
      <c r="Q164" s="90">
        <v>8.27</v>
      </c>
      <c r="R164" s="87"/>
      <c r="S164" s="256">
        <f t="shared" si="2"/>
        <v>0.20674999999999999</v>
      </c>
      <c r="T164" s="117">
        <v>7.0000000000000007E-2</v>
      </c>
      <c r="U164" s="117">
        <v>0</v>
      </c>
      <c r="V164" s="258">
        <f t="shared" si="3"/>
        <v>8.1999999999999993</v>
      </c>
      <c r="W164" s="259">
        <f>IF(RL&gt;0,IF(RL&gt;'Look Ups'!Y$7,'Look Ups'!Y$8,('Look Ups'!Y$3*RL^3+'Look Ups'!Y$4*RL^2+'Look Ups'!Y$5*RL+'Look Ups'!Y$6)),0)</f>
        <v>0.29445914400000001</v>
      </c>
      <c r="X164" s="92">
        <f>1435-55</f>
        <v>1380</v>
      </c>
      <c r="Y164" s="263">
        <f ca="1">IF(WDATE&lt;(TODAY()-'Look Ups'!$D$4*365),-WM*'Look Ups'!$D$5/100,0)</f>
        <v>-207</v>
      </c>
      <c r="Z164" s="103"/>
      <c r="AA164" s="109"/>
      <c r="AB164" s="109"/>
      <c r="AC164" s="265">
        <f>WCD+NC*'Look Ups'!$AF$3</f>
        <v>0</v>
      </c>
      <c r="AD164" s="265">
        <f ca="1">IF(RL&lt;'Look Ups'!AM$3,'Look Ups'!AM$4,IF(RL&gt;'Look Ups'!AM$5,'Look Ups'!AM$6,(RL-'Look Ups'!AM$3)/('Look Ups'!AM$5-'Look Ups'!AM$3)*('Look Ups'!AM$6-'Look Ups'!AM$4)+'Look Ups'!AM$4))/100*WS</f>
        <v>287.91818181818184</v>
      </c>
      <c r="AE164" s="269">
        <f t="shared" ca="1" si="4"/>
        <v>1173</v>
      </c>
      <c r="AF164" s="267">
        <f t="shared" ca="1" si="5"/>
        <v>1173</v>
      </c>
      <c r="AG164" s="94" t="s">
        <v>155</v>
      </c>
      <c r="AH164" s="95" t="s">
        <v>146</v>
      </c>
      <c r="AI164" s="96" t="s">
        <v>147</v>
      </c>
      <c r="AJ164" s="218"/>
      <c r="AK164" s="273">
        <f>IF(C164="",0,VLOOKUP(AG164,'Look Ups'!$F$3:$G$6,2,0)*VLOOKUP(AH164,'Look Ups'!$I$3:$J$5,2,0)*VLOOKUP(AI164,'Look Ups'!$L$3:$M$7,2,0)*IF(AJ164="",1,VLOOKUP(AJ164,'Look Ups'!$O$3:$P$4,2,0)))</f>
        <v>0.99</v>
      </c>
      <c r="AL164" s="83">
        <v>10.51</v>
      </c>
      <c r="AM164" s="91">
        <v>10.29</v>
      </c>
      <c r="AN164" s="91">
        <v>3.23</v>
      </c>
      <c r="AO164" s="91">
        <v>0.75</v>
      </c>
      <c r="AP164" s="91">
        <v>0.66</v>
      </c>
      <c r="AQ164" s="91">
        <v>10.33</v>
      </c>
      <c r="AR164" s="91">
        <v>0.06</v>
      </c>
      <c r="AS164" s="91">
        <v>3.35</v>
      </c>
      <c r="AT164" s="91">
        <v>0.04</v>
      </c>
      <c r="AU164" s="91">
        <v>0.48</v>
      </c>
      <c r="AV164" s="91" t="s">
        <v>148</v>
      </c>
      <c r="AW164" s="97">
        <v>1</v>
      </c>
      <c r="AX164" s="256">
        <f t="shared" si="6"/>
        <v>10.37</v>
      </c>
      <c r="AY164" s="256">
        <f t="shared" si="7"/>
        <v>1.8593999999999999</v>
      </c>
      <c r="AZ164" s="275">
        <f>IF(C164="",0,(0.5*(_ML1*LPM)+0.5*(_ML1*HB)+0.66*(P*PR)+0.66*(_ML2*RDM)+0.66*(E*ER))*VLOOKUP(BATT,'Look Ups'!$U$3:$V$4,2,0))</f>
        <v>25.894731999999998</v>
      </c>
      <c r="BA164" s="98"/>
      <c r="BB164" s="99"/>
      <c r="BC164" s="83">
        <v>8.69</v>
      </c>
      <c r="BD164" s="91">
        <v>2.58</v>
      </c>
      <c r="BE164" s="91">
        <v>2.86</v>
      </c>
      <c r="BF164" s="91">
        <v>0.14000000000000001</v>
      </c>
      <c r="BG164" s="91">
        <v>7.83</v>
      </c>
      <c r="BH164" s="91"/>
      <c r="BI164" s="91"/>
      <c r="BJ164" s="91">
        <v>0.12</v>
      </c>
      <c r="BK164" s="91">
        <v>0.04</v>
      </c>
      <c r="BL164" s="97">
        <v>1</v>
      </c>
      <c r="BM164" s="275">
        <f t="shared" si="8"/>
        <v>12.323916000000001</v>
      </c>
      <c r="BN164" s="319"/>
      <c r="BO164" s="320"/>
      <c r="BP164" s="321"/>
      <c r="BQ164" s="321"/>
      <c r="BR164" s="320"/>
      <c r="BS164" s="321"/>
      <c r="BT164" s="321"/>
      <c r="BU164" s="280">
        <f t="shared" si="9"/>
        <v>0</v>
      </c>
      <c r="BV164" s="322"/>
      <c r="BW164" s="320"/>
      <c r="BX164" s="320"/>
      <c r="BY164" s="320"/>
      <c r="BZ164" s="320"/>
      <c r="CA164" s="320"/>
      <c r="CB164" s="320"/>
      <c r="CC164" s="275">
        <f t="shared" si="10"/>
        <v>0</v>
      </c>
      <c r="CD164" s="98">
        <v>7.22</v>
      </c>
      <c r="CE164" s="91">
        <v>11.7</v>
      </c>
      <c r="CF164" s="91">
        <v>10.26</v>
      </c>
      <c r="CG164" s="91">
        <v>6.62</v>
      </c>
      <c r="CH164" s="266">
        <f t="shared" si="11"/>
        <v>91.689750692520775</v>
      </c>
      <c r="CI164" s="320"/>
      <c r="CJ164" s="280">
        <f t="shared" si="12"/>
        <v>61.671000000000006</v>
      </c>
      <c r="CK164" s="83">
        <v>6.32</v>
      </c>
      <c r="CL164" s="91">
        <v>10.14</v>
      </c>
      <c r="CM164" s="91">
        <v>8.4600000000000009</v>
      </c>
      <c r="CN164" s="91">
        <v>3.24</v>
      </c>
      <c r="CO164" s="256">
        <f t="shared" si="13"/>
        <v>51.265822784810119</v>
      </c>
      <c r="CP164" s="320"/>
      <c r="CQ164" s="256">
        <f t="shared" si="14"/>
        <v>29.884000000000007</v>
      </c>
      <c r="CR164" s="256" t="str">
        <f>IF(CO164&lt;'Look Ups'!$AC$4,"Yes","No")</f>
        <v>Yes</v>
      </c>
      <c r="CS164" s="293">
        <f>IF(CR164="Yes",MIN(150,('Look Ups'!$AC$4-PSCR)/('Look Ups'!$AC$4-'Look Ups'!$AC$3)*100),0)</f>
        <v>14.683544303797619</v>
      </c>
      <c r="CT164" s="83"/>
      <c r="CU164" s="91"/>
      <c r="CV164" s="91"/>
      <c r="CW164" s="91"/>
      <c r="CX164" s="256" t="str">
        <f t="shared" si="15"/>
        <v/>
      </c>
      <c r="CY164" s="293">
        <f>IF(PUSCR&lt;'Look Ups'!$AC$4,MIN(150,('Look Ups'!$AC$4-PUSCR)/('Look Ups'!$AC$4-'Look Ups'!$AC$3)*100),0)</f>
        <v>0</v>
      </c>
      <c r="CZ164" s="275">
        <f>IF(PUSCR&lt;'Look Ups'!$AC$4,USCRF*(USCRL1+USCRL2)/4+(USCRMG-USCRF/2)*(USCRL1+USCRL2)/3,0)</f>
        <v>0</v>
      </c>
      <c r="DA164" s="294">
        <f t="shared" si="16"/>
        <v>1</v>
      </c>
      <c r="DB164" s="256">
        <f t="shared" si="17"/>
        <v>27.754131999999998</v>
      </c>
      <c r="DC164" s="256">
        <f t="shared" si="18"/>
        <v>1</v>
      </c>
      <c r="DD164" s="256">
        <f t="shared" si="19"/>
        <v>12.323916000000001</v>
      </c>
      <c r="DE164" s="256">
        <f>IF(AZ164&gt;0,'Look Ups'!$S$3,0)</f>
        <v>1</v>
      </c>
      <c r="DF164" s="256">
        <f t="shared" si="20"/>
        <v>0</v>
      </c>
      <c r="DG164" s="256">
        <f t="shared" si="21"/>
        <v>0</v>
      </c>
      <c r="DH164" s="256">
        <f t="shared" si="22"/>
        <v>0</v>
      </c>
      <c r="DI164" s="280">
        <f t="shared" si="23"/>
        <v>0</v>
      </c>
      <c r="DJ164" s="295" t="str">
        <f t="shared" si="24"/>
        <v>valid</v>
      </c>
      <c r="DK164" s="266" t="str">
        <f t="shared" si="25"/>
        <v>valid</v>
      </c>
      <c r="DL164" s="267" t="str">
        <f t="shared" si="26"/>
        <v>MGScrSP</v>
      </c>
      <c r="DM164" s="294">
        <f t="shared" si="27"/>
        <v>40.078047999999995</v>
      </c>
      <c r="DN164" s="256">
        <f>IF(MSASP&gt;0,'Look Ups'!$AI$4*(ZVAL*MSASP-RSAG),0)</f>
        <v>14.804125200000001</v>
      </c>
      <c r="DO164" s="256">
        <f>IF(AND(MSASC&gt;0,(MSASC&gt;=0.36*RSAM)),('Look Ups'!$AI$3*(ZVAL*MSASC-RSAG)),(0))</f>
        <v>6.1460294000000024</v>
      </c>
      <c r="DP164" s="256">
        <f>IF(MSASP&gt;0,'Look Ups'!$AI$5*(ZVAL*MSASP-RSAG),0)</f>
        <v>13.817183520000004</v>
      </c>
      <c r="DQ164" s="256">
        <f>IF(MSASC&gt;0,'Look Ups'!$AI$6*(MSASC-RSAG),0)</f>
        <v>1.2292058800000005</v>
      </c>
      <c r="DR164" s="280">
        <f>'Look Ups'!$AI$7*MAX(IF(MSAUSC&gt;0,EUSC/100*(MSAUSC-RSAG),0),IF(CR164="Yes",ELSC/100*(MSASC-RSAG),0))</f>
        <v>0.64461067848101949</v>
      </c>
      <c r="DS164" s="280">
        <f t="shared" si="28"/>
        <v>9.9914875199999997</v>
      </c>
      <c r="DT164" s="296">
        <f t="shared" si="29"/>
        <v>55.769048078481021</v>
      </c>
      <c r="DU164" s="14"/>
    </row>
    <row r="165" spans="1:125" ht="15.6" customHeight="1" x14ac:dyDescent="0.3">
      <c r="A165" s="4"/>
      <c r="B165" s="365"/>
      <c r="C165" s="369" t="s">
        <v>619</v>
      </c>
      <c r="D165" s="370" t="s">
        <v>620</v>
      </c>
      <c r="E165" s="371" t="s">
        <v>621</v>
      </c>
      <c r="F165" s="252">
        <f t="shared" ca="1" si="0"/>
        <v>1.1000000000000001</v>
      </c>
      <c r="G165" s="252" t="str">
        <f ca="1">IF(OR(FLSCR="ERROR",FLSPI="ERROR"),"No",IF(TODAY()-'Look Ups'!$D$4*365&gt;I165,"WP Applied","Yes"))</f>
        <v>WP Applied</v>
      </c>
      <c r="H165" s="253" t="str">
        <f t="shared" si="1"/>
        <v>Main-Genoa-Spinnaker</v>
      </c>
      <c r="I165" s="1">
        <v>37342</v>
      </c>
      <c r="J165" s="1"/>
      <c r="K165" s="87" t="s">
        <v>594</v>
      </c>
      <c r="L165" s="87" t="s">
        <v>589</v>
      </c>
      <c r="M165" s="207"/>
      <c r="N165" s="88" t="s">
        <v>318</v>
      </c>
      <c r="O165" s="88"/>
      <c r="P165" s="89">
        <v>8.3000000000000007</v>
      </c>
      <c r="Q165" s="90">
        <v>12.68</v>
      </c>
      <c r="R165" s="87"/>
      <c r="S165" s="256">
        <f t="shared" si="2"/>
        <v>0.317</v>
      </c>
      <c r="T165" s="117">
        <v>0.77</v>
      </c>
      <c r="U165" s="117">
        <v>0</v>
      </c>
      <c r="V165" s="258">
        <f t="shared" si="3"/>
        <v>11.91</v>
      </c>
      <c r="W165" s="259">
        <f>IF(RL&gt;0,IF(RL&gt;'Look Ups'!Y$7,'Look Ups'!Y$8,('Look Ups'!Y$3*RL^3+'Look Ups'!Y$4*RL^2+'Look Ups'!Y$5*RL+'Look Ups'!Y$6)),0)</f>
        <v>0.299908218743</v>
      </c>
      <c r="X165" s="92">
        <v>3160</v>
      </c>
      <c r="Y165" s="263">
        <f ca="1">IF(WDATE&lt;(TODAY()-'Look Ups'!$D$4*365),-WM*'Look Ups'!$D$5/100,0)</f>
        <v>-474</v>
      </c>
      <c r="Z165" s="103"/>
      <c r="AA165" s="109"/>
      <c r="AB165" s="109"/>
      <c r="AC165" s="265">
        <f>WCD+NC*'Look Ups'!$AF$3</f>
        <v>0</v>
      </c>
      <c r="AD165" s="265">
        <f ca="1">IF(RL&lt;'Look Ups'!AM$3,'Look Ups'!AM$4,IF(RL&gt;'Look Ups'!AM$5,'Look Ups'!AM$6,(RL-'Look Ups'!AM$3)/('Look Ups'!AM$5-'Look Ups'!AM$3)*('Look Ups'!AM$6-'Look Ups'!AM$4)+'Look Ups'!AM$4))/100*WS</f>
        <v>296.92509090909084</v>
      </c>
      <c r="AE165" s="269">
        <f t="shared" ca="1" si="4"/>
        <v>2686</v>
      </c>
      <c r="AF165" s="267">
        <f t="shared" ca="1" si="5"/>
        <v>2686</v>
      </c>
      <c r="AG165" s="94" t="s">
        <v>145</v>
      </c>
      <c r="AH165" s="95" t="s">
        <v>146</v>
      </c>
      <c r="AI165" s="96" t="s">
        <v>147</v>
      </c>
      <c r="AJ165" s="218"/>
      <c r="AK165" s="273">
        <f>IF(C165="",0,VLOOKUP(AG165,'Look Ups'!$F$3:$G$6,2,0)*VLOOKUP(AH165,'Look Ups'!$I$3:$J$5,2,0)*VLOOKUP(AI165,'Look Ups'!$L$3:$M$7,2,0)*IF(AJ165="",1,VLOOKUP(AJ165,'Look Ups'!$O$3:$P$4,2,0)))</f>
        <v>1</v>
      </c>
      <c r="AL165" s="83">
        <v>14.27</v>
      </c>
      <c r="AM165" s="91">
        <v>14.22</v>
      </c>
      <c r="AN165" s="91">
        <v>4.2300000000000004</v>
      </c>
      <c r="AO165" s="91">
        <v>0.14000000000000001</v>
      </c>
      <c r="AP165" s="91">
        <v>0.84</v>
      </c>
      <c r="AQ165" s="91">
        <v>14</v>
      </c>
      <c r="AR165" s="91">
        <v>0.16</v>
      </c>
      <c r="AS165" s="91">
        <v>4.3499999999999996</v>
      </c>
      <c r="AT165" s="91">
        <v>0</v>
      </c>
      <c r="AU165" s="91">
        <v>0.30000000000000004</v>
      </c>
      <c r="AV165" s="91" t="s">
        <v>148</v>
      </c>
      <c r="AW165" s="97">
        <v>0</v>
      </c>
      <c r="AX165" s="256">
        <f t="shared" si="6"/>
        <v>14</v>
      </c>
      <c r="AY165" s="256">
        <f t="shared" si="7"/>
        <v>1.5750000000000002</v>
      </c>
      <c r="AZ165" s="275">
        <f>IF(C165="",0,(0.5*(_ML1*LPM)+0.5*(_ML1*HB)+0.66*(P*PR)+0.66*(_ML2*RDM)+0.66*(E*ER))*VLOOKUP(BATT,'Look Ups'!$U$3:$V$4,2,0))</f>
        <v>40.541918000000003</v>
      </c>
      <c r="BA165" s="98"/>
      <c r="BB165" s="99"/>
      <c r="BC165" s="83">
        <v>15.83</v>
      </c>
      <c r="BD165" s="91">
        <v>8.76</v>
      </c>
      <c r="BE165" s="91">
        <v>9.17</v>
      </c>
      <c r="BF165" s="91">
        <v>0.4</v>
      </c>
      <c r="BG165" s="91">
        <v>15.7</v>
      </c>
      <c r="BH165" s="91"/>
      <c r="BI165" s="91"/>
      <c r="BJ165" s="91">
        <v>-0.05</v>
      </c>
      <c r="BK165" s="91">
        <v>-0.35</v>
      </c>
      <c r="BL165" s="97"/>
      <c r="BM165" s="275">
        <f t="shared" si="8"/>
        <v>67.58144999999999</v>
      </c>
      <c r="BN165" s="319"/>
      <c r="BO165" s="320"/>
      <c r="BP165" s="321"/>
      <c r="BQ165" s="321"/>
      <c r="BR165" s="320"/>
      <c r="BS165" s="321"/>
      <c r="BT165" s="321"/>
      <c r="BU165" s="280">
        <f t="shared" si="9"/>
        <v>0</v>
      </c>
      <c r="BV165" s="322"/>
      <c r="BW165" s="320"/>
      <c r="BX165" s="320"/>
      <c r="BY165" s="320"/>
      <c r="BZ165" s="320"/>
      <c r="CA165" s="320"/>
      <c r="CB165" s="320"/>
      <c r="CC165" s="275">
        <f t="shared" si="10"/>
        <v>0</v>
      </c>
      <c r="CD165" s="98">
        <v>11.48</v>
      </c>
      <c r="CE165" s="91">
        <v>19.13</v>
      </c>
      <c r="CF165" s="91">
        <v>19.46</v>
      </c>
      <c r="CG165" s="91">
        <v>11.6</v>
      </c>
      <c r="CH165" s="266">
        <f t="shared" si="11"/>
        <v>101.04529616724737</v>
      </c>
      <c r="CI165" s="320"/>
      <c r="CJ165" s="280">
        <f t="shared" si="12"/>
        <v>186.13243333333332</v>
      </c>
      <c r="CK165" s="83"/>
      <c r="CL165" s="91"/>
      <c r="CM165" s="91"/>
      <c r="CN165" s="91"/>
      <c r="CO165" s="256" t="str">
        <f t="shared" si="13"/>
        <v/>
      </c>
      <c r="CP165" s="320"/>
      <c r="CQ165" s="256">
        <f t="shared" si="14"/>
        <v>0</v>
      </c>
      <c r="CR165" s="256" t="str">
        <f>IF(CO165&lt;'Look Ups'!$AC$4,"Yes","No")</f>
        <v>No</v>
      </c>
      <c r="CS165" s="293">
        <f>IF(CR165="Yes",MIN(150,('Look Ups'!$AC$4-PSCR)/('Look Ups'!$AC$4-'Look Ups'!$AC$3)*100),0)</f>
        <v>0</v>
      </c>
      <c r="CT165" s="83"/>
      <c r="CU165" s="91"/>
      <c r="CV165" s="91"/>
      <c r="CW165" s="91"/>
      <c r="CX165" s="256" t="str">
        <f t="shared" si="15"/>
        <v/>
      </c>
      <c r="CY165" s="293">
        <f>IF(PUSCR&lt;'Look Ups'!$AC$4,MIN(150,('Look Ups'!$AC$4-PUSCR)/('Look Ups'!$AC$4-'Look Ups'!$AC$3)*100),0)</f>
        <v>0</v>
      </c>
      <c r="CZ165" s="275">
        <f>IF(PUSCR&lt;'Look Ups'!$AC$4,USCRF*(USCRL1+USCRL2)/4+(USCRMG-USCRF/2)*(USCRL1+USCRL2)/3,0)</f>
        <v>0</v>
      </c>
      <c r="DA165" s="294">
        <f t="shared" si="16"/>
        <v>1</v>
      </c>
      <c r="DB165" s="256">
        <f t="shared" si="17"/>
        <v>42.116918000000005</v>
      </c>
      <c r="DC165" s="256">
        <f t="shared" si="18"/>
        <v>1</v>
      </c>
      <c r="DD165" s="256">
        <f t="shared" si="19"/>
        <v>67.58144999999999</v>
      </c>
      <c r="DE165" s="256">
        <f>IF(AZ165&gt;0,'Look Ups'!$S$3,0)</f>
        <v>1</v>
      </c>
      <c r="DF165" s="256">
        <f t="shared" si="20"/>
        <v>0</v>
      </c>
      <c r="DG165" s="256">
        <f t="shared" si="21"/>
        <v>0</v>
      </c>
      <c r="DH165" s="256">
        <f t="shared" si="22"/>
        <v>0</v>
      </c>
      <c r="DI165" s="280">
        <f t="shared" si="23"/>
        <v>0</v>
      </c>
      <c r="DJ165" s="295" t="str">
        <f t="shared" si="24"/>
        <v>-</v>
      </c>
      <c r="DK165" s="266" t="str">
        <f t="shared" si="25"/>
        <v>valid</v>
      </c>
      <c r="DL165" s="267" t="str">
        <f t="shared" si="26"/>
        <v>MGSP</v>
      </c>
      <c r="DM165" s="294">
        <f t="shared" si="27"/>
        <v>109.69836799999999</v>
      </c>
      <c r="DN165" s="256">
        <f>IF(MSASP&gt;0,'Look Ups'!$AI$4*(ZVAL*MSASP-RSAG),0)</f>
        <v>35.565294999999999</v>
      </c>
      <c r="DO165" s="256">
        <f>IF(AND(MSASC&gt;0,(MSASC&gt;=0.36*RSAM)),('Look Ups'!$AI$3*(ZVAL*MSASC-RSAG)),(0))</f>
        <v>0</v>
      </c>
      <c r="DP165" s="256">
        <f>IF(MSASP&gt;0,'Look Ups'!$AI$5*(ZVAL*MSASP-RSAG),0)</f>
        <v>33.194275333333337</v>
      </c>
      <c r="DQ165" s="256">
        <f>IF(MSASC&gt;0,'Look Ups'!$AI$6*(MSASC-RSAG),0)</f>
        <v>0</v>
      </c>
      <c r="DR165" s="280">
        <f>'Look Ups'!$AI$7*MAX(IF(MSAUSC&gt;0,EUSC/100*(MSAUSC-RSAG),0),IF(CR165="Yes",ELSC/100*(MSASC-RSAG),0))</f>
        <v>0</v>
      </c>
      <c r="DS165" s="280">
        <f t="shared" si="28"/>
        <v>15.162090480000002</v>
      </c>
      <c r="DT165" s="296">
        <f t="shared" si="29"/>
        <v>145.26366299999998</v>
      </c>
      <c r="DU165" s="14"/>
    </row>
    <row r="166" spans="1:125" ht="15.6" customHeight="1" x14ac:dyDescent="0.3">
      <c r="A166" s="4"/>
      <c r="B166" s="365"/>
      <c r="C166" s="369" t="s">
        <v>622</v>
      </c>
      <c r="D166" s="370"/>
      <c r="E166" s="371" t="s">
        <v>623</v>
      </c>
      <c r="F166" s="252">
        <f t="shared" ca="1" si="0"/>
        <v>1.129</v>
      </c>
      <c r="G166" s="252" t="str">
        <f ca="1">IF(OR(FLSCR="ERROR",FLSPI="ERROR"),"No",IF(TODAY()-'Look Ups'!$D$4*365&gt;I166,"WP Applied","Yes"))</f>
        <v>WP Applied</v>
      </c>
      <c r="H166" s="253" t="str">
        <f t="shared" si="1"/>
        <v>Main-Genoa-Spinnaker</v>
      </c>
      <c r="I166" s="1">
        <v>39046</v>
      </c>
      <c r="J166" s="1"/>
      <c r="K166" s="87" t="s">
        <v>248</v>
      </c>
      <c r="L166" s="87" t="s">
        <v>589</v>
      </c>
      <c r="M166" s="207"/>
      <c r="N166" s="88" t="s">
        <v>165</v>
      </c>
      <c r="O166" s="88"/>
      <c r="P166" s="89"/>
      <c r="Q166" s="90">
        <v>15.2</v>
      </c>
      <c r="R166" s="87"/>
      <c r="S166" s="256">
        <f t="shared" si="2"/>
        <v>0.38</v>
      </c>
      <c r="T166" s="117"/>
      <c r="U166" s="117"/>
      <c r="V166" s="258">
        <f t="shared" si="3"/>
        <v>15.2</v>
      </c>
      <c r="W166" s="259">
        <f>IF(RL&gt;0,IF(RL&gt;'Look Ups'!Y$7,'Look Ups'!Y$8,('Look Ups'!Y$3*RL^3+'Look Ups'!Y$4*RL^2+'Look Ups'!Y$5*RL+'Look Ups'!Y$6)),0)</f>
        <v>0.3</v>
      </c>
      <c r="X166" s="92">
        <v>4361</v>
      </c>
      <c r="Y166" s="263">
        <f ca="1">IF(WDATE&lt;(TODAY()-'Look Ups'!$D$4*365),-WM*'Look Ups'!$D$5/100,0)</f>
        <v>-654.15</v>
      </c>
      <c r="Z166" s="103"/>
      <c r="AA166" s="109"/>
      <c r="AB166" s="109"/>
      <c r="AC166" s="265">
        <f>WCD+NC*'Look Ups'!$AF$3</f>
        <v>0</v>
      </c>
      <c r="AD166" s="265">
        <f ca="1">IF(RL&lt;'Look Ups'!AM$3,'Look Ups'!AM$4,IF(RL&gt;'Look Ups'!AM$5,'Look Ups'!AM$6,(RL-'Look Ups'!AM$3)/('Look Ups'!AM$5-'Look Ups'!AM$3)*('Look Ups'!AM$6-'Look Ups'!AM$4)+'Look Ups'!AM$4))/100*WS</f>
        <v>370.685</v>
      </c>
      <c r="AE166" s="269">
        <f t="shared" ca="1" si="4"/>
        <v>3706.85</v>
      </c>
      <c r="AF166" s="267">
        <f t="shared" ca="1" si="5"/>
        <v>3706.85</v>
      </c>
      <c r="AG166" s="94" t="s">
        <v>145</v>
      </c>
      <c r="AH166" s="95" t="s">
        <v>146</v>
      </c>
      <c r="AI166" s="96" t="s">
        <v>147</v>
      </c>
      <c r="AJ166" s="218"/>
      <c r="AK166" s="273">
        <f>IF(C166="",0,VLOOKUP(AG166,'Look Ups'!$F$3:$G$6,2,0)*VLOOKUP(AH166,'Look Ups'!$I$3:$J$5,2,0)*VLOOKUP(AI166,'Look Ups'!$L$3:$M$7,2,0)*IF(AJ166="",1,VLOOKUP(AJ166,'Look Ups'!$O$3:$P$4,2,0)))</f>
        <v>1</v>
      </c>
      <c r="AL166" s="83">
        <v>18.38</v>
      </c>
      <c r="AM166" s="91">
        <v>17.850000000000001</v>
      </c>
      <c r="AN166" s="91">
        <v>5.5</v>
      </c>
      <c r="AO166" s="91">
        <v>0.95</v>
      </c>
      <c r="AP166" s="91">
        <v>1.47</v>
      </c>
      <c r="AQ166" s="91">
        <v>18.2</v>
      </c>
      <c r="AR166" s="91">
        <v>0.2</v>
      </c>
      <c r="AS166" s="91">
        <v>5.59</v>
      </c>
      <c r="AT166" s="91">
        <v>0.12</v>
      </c>
      <c r="AU166" s="91">
        <v>0.72</v>
      </c>
      <c r="AV166" s="91" t="s">
        <v>148</v>
      </c>
      <c r="AW166" s="97">
        <v>0</v>
      </c>
      <c r="AX166" s="256">
        <f t="shared" si="6"/>
        <v>18.32</v>
      </c>
      <c r="AY166" s="256">
        <f t="shared" si="7"/>
        <v>4.9139999999999997</v>
      </c>
      <c r="AZ166" s="275">
        <f>IF(C166="",0,(0.5*(_ML1*LPM)+0.5*(_ML1*HB)+0.66*(P*PR)+0.66*(_ML2*RDM)+0.66*(E*ER))*VLOOKUP(BATT,'Look Ups'!$U$3:$V$4,2,0))</f>
        <v>79.438698000000002</v>
      </c>
      <c r="BA166" s="98"/>
      <c r="BB166" s="99"/>
      <c r="BC166" s="83">
        <v>16.77</v>
      </c>
      <c r="BD166" s="91">
        <v>4.91</v>
      </c>
      <c r="BE166" s="91">
        <v>5.27</v>
      </c>
      <c r="BF166" s="91">
        <v>0.2</v>
      </c>
      <c r="BG166" s="91">
        <v>15.67</v>
      </c>
      <c r="BH166" s="91"/>
      <c r="BI166" s="91"/>
      <c r="BJ166" s="91">
        <v>-0.12</v>
      </c>
      <c r="BK166" s="91">
        <v>-0.04</v>
      </c>
      <c r="BL166" s="97">
        <v>0</v>
      </c>
      <c r="BM166" s="275">
        <f t="shared" si="8"/>
        <v>40.182197999999993</v>
      </c>
      <c r="BN166" s="319"/>
      <c r="BO166" s="320"/>
      <c r="BP166" s="321"/>
      <c r="BQ166" s="321"/>
      <c r="BR166" s="320"/>
      <c r="BS166" s="321"/>
      <c r="BT166" s="321"/>
      <c r="BU166" s="280">
        <f t="shared" si="9"/>
        <v>0</v>
      </c>
      <c r="BV166" s="322"/>
      <c r="BW166" s="320"/>
      <c r="BX166" s="320"/>
      <c r="BY166" s="320"/>
      <c r="BZ166" s="320"/>
      <c r="CA166" s="320"/>
      <c r="CB166" s="320"/>
      <c r="CC166" s="275">
        <f t="shared" si="10"/>
        <v>0</v>
      </c>
      <c r="CD166" s="98">
        <v>13.35</v>
      </c>
      <c r="CE166" s="91">
        <v>19.420000000000002</v>
      </c>
      <c r="CF166" s="91">
        <v>17.37</v>
      </c>
      <c r="CG166" s="91">
        <v>11.65</v>
      </c>
      <c r="CH166" s="266">
        <f t="shared" si="11"/>
        <v>87.265917602996254</v>
      </c>
      <c r="CI166" s="320"/>
      <c r="CJ166" s="280">
        <f t="shared" si="12"/>
        <v>183.79670833333336</v>
      </c>
      <c r="CK166" s="83"/>
      <c r="CL166" s="91"/>
      <c r="CM166" s="91"/>
      <c r="CN166" s="91"/>
      <c r="CO166" s="256" t="str">
        <f t="shared" si="13"/>
        <v/>
      </c>
      <c r="CP166" s="320"/>
      <c r="CQ166" s="256">
        <f t="shared" si="14"/>
        <v>0</v>
      </c>
      <c r="CR166" s="256" t="str">
        <f>IF(CO166&lt;'Look Ups'!$AC$4,"Yes","No")</f>
        <v>No</v>
      </c>
      <c r="CS166" s="293">
        <f>IF(CR166="Yes",MIN(150,('Look Ups'!$AC$4-PSCR)/('Look Ups'!$AC$4-'Look Ups'!$AC$3)*100),0)</f>
        <v>0</v>
      </c>
      <c r="CT166" s="83"/>
      <c r="CU166" s="91"/>
      <c r="CV166" s="91"/>
      <c r="CW166" s="91"/>
      <c r="CX166" s="256" t="str">
        <f t="shared" si="15"/>
        <v/>
      </c>
      <c r="CY166" s="293">
        <f>IF(PUSCR&lt;'Look Ups'!$AC$4,MIN(150,('Look Ups'!$AC$4-PUSCR)/('Look Ups'!$AC$4-'Look Ups'!$AC$3)*100),0)</f>
        <v>0</v>
      </c>
      <c r="CZ166" s="275">
        <f>IF(PUSCR&lt;'Look Ups'!$AC$4,USCRF*(USCRL1+USCRL2)/4+(USCRMG-USCRF/2)*(USCRL1+USCRL2)/3,0)</f>
        <v>0</v>
      </c>
      <c r="DA166" s="294">
        <f t="shared" si="16"/>
        <v>1</v>
      </c>
      <c r="DB166" s="256">
        <f t="shared" si="17"/>
        <v>84.352698000000004</v>
      </c>
      <c r="DC166" s="256">
        <f t="shared" si="18"/>
        <v>1</v>
      </c>
      <c r="DD166" s="256">
        <f t="shared" si="19"/>
        <v>40.182197999999993</v>
      </c>
      <c r="DE166" s="256">
        <f>IF(AZ166&gt;0,'Look Ups'!$S$3,0)</f>
        <v>1</v>
      </c>
      <c r="DF166" s="256">
        <f t="shared" si="20"/>
        <v>0</v>
      </c>
      <c r="DG166" s="256">
        <f t="shared" si="21"/>
        <v>0</v>
      </c>
      <c r="DH166" s="256">
        <f t="shared" si="22"/>
        <v>0</v>
      </c>
      <c r="DI166" s="280">
        <f t="shared" si="23"/>
        <v>0</v>
      </c>
      <c r="DJ166" s="295" t="str">
        <f t="shared" si="24"/>
        <v>-</v>
      </c>
      <c r="DK166" s="266" t="str">
        <f t="shared" si="25"/>
        <v>valid</v>
      </c>
      <c r="DL166" s="267" t="str">
        <f t="shared" si="26"/>
        <v>MGSP</v>
      </c>
      <c r="DM166" s="294">
        <f t="shared" si="27"/>
        <v>124.534896</v>
      </c>
      <c r="DN166" s="256">
        <f>IF(MSASP&gt;0,'Look Ups'!$AI$4*(ZVAL*MSASP-RSAG),0)</f>
        <v>43.084353100000008</v>
      </c>
      <c r="DO166" s="256">
        <f>IF(AND(MSASC&gt;0,(MSASC&gt;=0.36*RSAM)),('Look Ups'!$AI$3*(ZVAL*MSASC-RSAG)),(0))</f>
        <v>0</v>
      </c>
      <c r="DP166" s="256">
        <f>IF(MSASP&gt;0,'Look Ups'!$AI$5*(ZVAL*MSASP-RSAG),0)</f>
        <v>40.212062893333346</v>
      </c>
      <c r="DQ166" s="256">
        <f>IF(MSASC&gt;0,'Look Ups'!$AI$6*(MSASC-RSAG),0)</f>
        <v>0</v>
      </c>
      <c r="DR166" s="280">
        <f>'Look Ups'!$AI$7*MAX(IF(MSAUSC&gt;0,EUSC/100*(MSAUSC-RSAG),0),IF(CR166="Yes",ELSC/100*(MSASC-RSAG),0))</f>
        <v>0</v>
      </c>
      <c r="DS166" s="280">
        <f t="shared" si="28"/>
        <v>30.366971280000001</v>
      </c>
      <c r="DT166" s="296">
        <f t="shared" si="29"/>
        <v>167.61924910000002</v>
      </c>
      <c r="DU166" s="14"/>
    </row>
    <row r="167" spans="1:125" ht="15.6" customHeight="1" x14ac:dyDescent="0.3">
      <c r="A167" s="4"/>
      <c r="B167" s="365"/>
      <c r="C167" s="369" t="s">
        <v>624</v>
      </c>
      <c r="D167" s="370" t="s">
        <v>558</v>
      </c>
      <c r="E167" s="371" t="s">
        <v>625</v>
      </c>
      <c r="F167" s="252">
        <f t="shared" ca="1" si="0"/>
        <v>1.0289999999999999</v>
      </c>
      <c r="G167" s="252" t="str">
        <f ca="1">IF(OR(FLSCR="ERROR",FLSPI="ERROR"),"No",IF(TODAY()-'Look Ups'!$D$4*365&gt;I167,"WP Applied","Yes"))</f>
        <v>WP Applied</v>
      </c>
      <c r="H167" s="253" t="str">
        <f t="shared" si="1"/>
        <v>Main-Genoa-Screacher (Upwind)-Spinnaker</v>
      </c>
      <c r="I167" s="1">
        <v>39499</v>
      </c>
      <c r="J167" s="1"/>
      <c r="K167" s="87" t="s">
        <v>244</v>
      </c>
      <c r="L167" s="87" t="s">
        <v>241</v>
      </c>
      <c r="M167" s="207"/>
      <c r="N167" s="88" t="s">
        <v>165</v>
      </c>
      <c r="O167" s="88"/>
      <c r="P167" s="89"/>
      <c r="Q167" s="90">
        <v>9.34</v>
      </c>
      <c r="R167" s="87"/>
      <c r="S167" s="256">
        <f t="shared" si="2"/>
        <v>0.23350000000000001</v>
      </c>
      <c r="T167" s="117">
        <v>0.12</v>
      </c>
      <c r="U167" s="117">
        <v>0</v>
      </c>
      <c r="V167" s="258">
        <f t="shared" si="3"/>
        <v>9.2200000000000006</v>
      </c>
      <c r="W167" s="259">
        <f>IF(RL&gt;0,IF(RL&gt;'Look Ups'!Y$7,'Look Ups'!Y$8,('Look Ups'!Y$3*RL^3+'Look Ups'!Y$4*RL^2+'Look Ups'!Y$5*RL+'Look Ups'!Y$6)),0)</f>
        <v>0.29714289578399999</v>
      </c>
      <c r="X167" s="92">
        <v>1754</v>
      </c>
      <c r="Y167" s="263">
        <f ca="1">IF(WDATE&lt;(TODAY()-'Look Ups'!$D$4*365),-WM*'Look Ups'!$D$5/100,0)</f>
        <v>-263.10000000000002</v>
      </c>
      <c r="Z167" s="103"/>
      <c r="AA167" s="109"/>
      <c r="AB167" s="109"/>
      <c r="AC167" s="265">
        <f>WCD+NC*'Look Ups'!$AF$3</f>
        <v>0</v>
      </c>
      <c r="AD167" s="265">
        <f ca="1">IF(RL&lt;'Look Ups'!AM$3,'Look Ups'!AM$4,IF(RL&gt;'Look Ups'!AM$5,'Look Ups'!AM$6,(RL-'Look Ups'!AM$3)/('Look Ups'!AM$5-'Look Ups'!AM$3)*('Look Ups'!AM$6-'Look Ups'!AM$4)+'Look Ups'!AM$4))/100*WS</f>
        <v>310.64934545454543</v>
      </c>
      <c r="AE167" s="269">
        <f t="shared" ca="1" si="4"/>
        <v>1490.9</v>
      </c>
      <c r="AF167" s="267">
        <f t="shared" ca="1" si="5"/>
        <v>1490.9</v>
      </c>
      <c r="AG167" s="94" t="s">
        <v>145</v>
      </c>
      <c r="AH167" s="95" t="s">
        <v>146</v>
      </c>
      <c r="AI167" s="96" t="s">
        <v>147</v>
      </c>
      <c r="AJ167" s="218"/>
      <c r="AK167" s="273">
        <f>IF(C167="",0,VLOOKUP(AG167,'Look Ups'!$F$3:$G$6,2,0)*VLOOKUP(AH167,'Look Ups'!$I$3:$J$5,2,0)*VLOOKUP(AI167,'Look Ups'!$L$3:$M$7,2,0)*IF(AJ167="",1,VLOOKUP(AJ167,'Look Ups'!$O$3:$P$4,2,0)))</f>
        <v>1</v>
      </c>
      <c r="AL167" s="83">
        <v>14.02</v>
      </c>
      <c r="AM167" s="91">
        <v>13.82</v>
      </c>
      <c r="AN167" s="91">
        <v>3.86</v>
      </c>
      <c r="AO167" s="91">
        <v>1.44</v>
      </c>
      <c r="AP167" s="91">
        <v>0.43</v>
      </c>
      <c r="AQ167" s="91">
        <v>14.13</v>
      </c>
      <c r="AR167" s="91">
        <v>0.14000000000000001</v>
      </c>
      <c r="AS167" s="91">
        <v>3.87</v>
      </c>
      <c r="AT167" s="91">
        <v>0.03</v>
      </c>
      <c r="AU167" s="91">
        <v>0.62</v>
      </c>
      <c r="AV167" s="91" t="s">
        <v>148</v>
      </c>
      <c r="AW167" s="97"/>
      <c r="AX167" s="256">
        <f t="shared" si="6"/>
        <v>14.16</v>
      </c>
      <c r="AY167" s="256">
        <f t="shared" si="7"/>
        <v>3.2852250000000001</v>
      </c>
      <c r="AZ167" s="275">
        <f>IF(C167="",0,(0.5*(_ML1*LPM)+0.5*(_ML1*HB)+0.66*(P*PR)+0.66*(_ML2*RDM)+0.66*(E*ER))*VLOOKUP(BATT,'Look Ups'!$U$3:$V$4,2,0))</f>
        <v>42.457354000000002</v>
      </c>
      <c r="BA167" s="98"/>
      <c r="BB167" s="99"/>
      <c r="BC167" s="83">
        <v>12.54</v>
      </c>
      <c r="BD167" s="91">
        <v>3.2</v>
      </c>
      <c r="BE167" s="91">
        <v>3.43</v>
      </c>
      <c r="BF167" s="91">
        <v>0.15</v>
      </c>
      <c r="BG167" s="91">
        <v>11.75</v>
      </c>
      <c r="BH167" s="91"/>
      <c r="BI167" s="91"/>
      <c r="BJ167" s="91">
        <v>0.16</v>
      </c>
      <c r="BK167" s="91">
        <v>0.05</v>
      </c>
      <c r="BL167" s="97" t="s">
        <v>446</v>
      </c>
      <c r="BM167" s="275">
        <f t="shared" si="8"/>
        <v>22.05819</v>
      </c>
      <c r="BN167" s="319"/>
      <c r="BO167" s="320"/>
      <c r="BP167" s="321"/>
      <c r="BQ167" s="321"/>
      <c r="BR167" s="320"/>
      <c r="BS167" s="321"/>
      <c r="BT167" s="321"/>
      <c r="BU167" s="280">
        <f t="shared" si="9"/>
        <v>0</v>
      </c>
      <c r="BV167" s="322"/>
      <c r="BW167" s="320"/>
      <c r="BX167" s="320"/>
      <c r="BY167" s="320"/>
      <c r="BZ167" s="320"/>
      <c r="CA167" s="320"/>
      <c r="CB167" s="320"/>
      <c r="CC167" s="275">
        <f t="shared" si="10"/>
        <v>0</v>
      </c>
      <c r="CD167" s="98">
        <v>9.94</v>
      </c>
      <c r="CE167" s="91">
        <v>15.37</v>
      </c>
      <c r="CF167" s="91">
        <v>13.32</v>
      </c>
      <c r="CG167" s="91">
        <v>8.35</v>
      </c>
      <c r="CH167" s="266">
        <f t="shared" si="11"/>
        <v>84.00402414486922</v>
      </c>
      <c r="CI167" s="320"/>
      <c r="CJ167" s="280">
        <f t="shared" si="12"/>
        <v>103.61871666666664</v>
      </c>
      <c r="CK167" s="83">
        <v>6.46</v>
      </c>
      <c r="CL167" s="91">
        <v>13.82</v>
      </c>
      <c r="CM167" s="91">
        <v>12.31</v>
      </c>
      <c r="CN167" s="91">
        <v>3.26</v>
      </c>
      <c r="CO167" s="256">
        <f t="shared" si="13"/>
        <v>50.464396284829718</v>
      </c>
      <c r="CP167" s="320"/>
      <c r="CQ167" s="256">
        <f t="shared" si="14"/>
        <v>42.46125</v>
      </c>
      <c r="CR167" s="256" t="str">
        <f>IF(CO167&lt;'Look Ups'!$AC$4,"Yes","No")</f>
        <v>Yes</v>
      </c>
      <c r="CS167" s="293">
        <f>IF(CR167="Yes",MIN(150,('Look Ups'!$AC$4-PSCR)/('Look Ups'!$AC$4-'Look Ups'!$AC$3)*100),0)</f>
        <v>30.712074303405647</v>
      </c>
      <c r="CT167" s="83"/>
      <c r="CU167" s="91"/>
      <c r="CV167" s="91"/>
      <c r="CW167" s="91"/>
      <c r="CX167" s="256" t="str">
        <f t="shared" si="15"/>
        <v/>
      </c>
      <c r="CY167" s="293">
        <f>IF(PUSCR&lt;'Look Ups'!$AC$4,MIN(150,('Look Ups'!$AC$4-PUSCR)/('Look Ups'!$AC$4-'Look Ups'!$AC$3)*100),0)</f>
        <v>0</v>
      </c>
      <c r="CZ167" s="275">
        <f>IF(PUSCR&lt;'Look Ups'!$AC$4,USCRF*(USCRL1+USCRL2)/4+(USCRMG-USCRF/2)*(USCRL1+USCRL2)/3,0)</f>
        <v>0</v>
      </c>
      <c r="DA167" s="294">
        <f t="shared" si="16"/>
        <v>1</v>
      </c>
      <c r="DB167" s="256">
        <f t="shared" si="17"/>
        <v>45.742578999999999</v>
      </c>
      <c r="DC167" s="256">
        <f t="shared" si="18"/>
        <v>1</v>
      </c>
      <c r="DD167" s="256">
        <f t="shared" si="19"/>
        <v>22.05819</v>
      </c>
      <c r="DE167" s="256">
        <f>IF(AZ167&gt;0,'Look Ups'!$S$3,0)</f>
        <v>1</v>
      </c>
      <c r="DF167" s="256">
        <f t="shared" si="20"/>
        <v>0</v>
      </c>
      <c r="DG167" s="256">
        <f t="shared" si="21"/>
        <v>0</v>
      </c>
      <c r="DH167" s="256">
        <f t="shared" si="22"/>
        <v>0</v>
      </c>
      <c r="DI167" s="280">
        <f t="shared" si="23"/>
        <v>0</v>
      </c>
      <c r="DJ167" s="295" t="str">
        <f t="shared" si="24"/>
        <v>valid</v>
      </c>
      <c r="DK167" s="266" t="str">
        <f t="shared" si="25"/>
        <v>valid</v>
      </c>
      <c r="DL167" s="267" t="str">
        <f t="shared" si="26"/>
        <v>MGScrSP</v>
      </c>
      <c r="DM167" s="294">
        <f t="shared" si="27"/>
        <v>67.800769000000003</v>
      </c>
      <c r="DN167" s="256">
        <f>IF(MSASP&gt;0,'Look Ups'!$AI$4*(ZVAL*MSASP-RSAG),0)</f>
        <v>24.468157999999992</v>
      </c>
      <c r="DO167" s="256">
        <f>IF(AND(MSASC&gt;0,(MSASC&gt;=0.36*RSAM)),('Look Ups'!$AI$3*(ZVAL*MSASC-RSAG)),(0))</f>
        <v>7.1410709999999993</v>
      </c>
      <c r="DP167" s="256">
        <f>IF(MSASP&gt;0,'Look Ups'!$AI$5*(ZVAL*MSASP-RSAG),0)</f>
        <v>22.836947466666665</v>
      </c>
      <c r="DQ167" s="256">
        <f>IF(MSASC&gt;0,'Look Ups'!$AI$6*(MSASC-RSAG),0)</f>
        <v>1.4282142000000002</v>
      </c>
      <c r="DR167" s="280">
        <f>'Look Ups'!$AI$7*MAX(IF(MSAUSC&gt;0,EUSC/100*(MSAUSC-RSAG),0),IF(CR167="Yes",ELSC/100*(MSASC-RSAG),0))</f>
        <v>1.566550736842109</v>
      </c>
      <c r="DS167" s="280">
        <f t="shared" si="28"/>
        <v>16.467328439999999</v>
      </c>
      <c r="DT167" s="296">
        <f t="shared" si="29"/>
        <v>93.632481403508763</v>
      </c>
      <c r="DU167" s="14"/>
    </row>
    <row r="168" spans="1:125" ht="15.6" customHeight="1" x14ac:dyDescent="0.3">
      <c r="A168" s="4"/>
      <c r="B168" s="365"/>
      <c r="C168" s="369" t="s">
        <v>626</v>
      </c>
      <c r="D168" s="370" t="s">
        <v>627</v>
      </c>
      <c r="E168" s="371" t="s">
        <v>628</v>
      </c>
      <c r="F168" s="252">
        <f t="shared" ca="1" si="0"/>
        <v>0.76700000000000002</v>
      </c>
      <c r="G168" s="252" t="str">
        <f ca="1">IF(OR(FLSCR="ERROR",FLSPI="ERROR"),"No",IF(TODAY()-'Look Ups'!$D$4*365&gt;I168,"WP Applied","Yes"))</f>
        <v>WP Applied</v>
      </c>
      <c r="H168" s="253" t="str">
        <f t="shared" si="1"/>
        <v>Main-Genoa-Spinnaker</v>
      </c>
      <c r="I168" s="1">
        <v>36465</v>
      </c>
      <c r="J168" s="1"/>
      <c r="K168" s="87" t="s">
        <v>629</v>
      </c>
      <c r="L168" s="87" t="s">
        <v>589</v>
      </c>
      <c r="M168" s="207"/>
      <c r="N168" s="88" t="s">
        <v>165</v>
      </c>
      <c r="O168" s="88"/>
      <c r="P168" s="89">
        <v>6.55</v>
      </c>
      <c r="Q168" s="90">
        <v>13.17</v>
      </c>
      <c r="R168" s="87"/>
      <c r="S168" s="256">
        <f t="shared" si="2"/>
        <v>0.32925000000000004</v>
      </c>
      <c r="T168" s="117">
        <v>0.96</v>
      </c>
      <c r="U168" s="117">
        <v>0</v>
      </c>
      <c r="V168" s="258">
        <f t="shared" si="3"/>
        <v>12.21</v>
      </c>
      <c r="W168" s="259">
        <f>IF(RL&gt;0,IF(RL&gt;'Look Ups'!Y$7,'Look Ups'!Y$8,('Look Ups'!Y$3*RL^3+'Look Ups'!Y$4*RL^2+'Look Ups'!Y$5*RL+'Look Ups'!Y$6)),0)</f>
        <v>0.3</v>
      </c>
      <c r="X168" s="92">
        <v>6823</v>
      </c>
      <c r="Y168" s="263">
        <f ca="1">IF(WDATE&lt;(TODAY()-'Look Ups'!$D$4*365),-WM*'Look Ups'!$D$5/100,0)</f>
        <v>-1023.45</v>
      </c>
      <c r="Z168" s="103"/>
      <c r="AA168" s="109"/>
      <c r="AB168" s="109"/>
      <c r="AC168" s="265">
        <f>WCD+NC*'Look Ups'!$AF$3</f>
        <v>0</v>
      </c>
      <c r="AD168" s="265">
        <f ca="1">IF(RL&lt;'Look Ups'!AM$3,'Look Ups'!AM$4,IF(RL&gt;'Look Ups'!AM$5,'Look Ups'!AM$6,(RL-'Look Ups'!AM$3)/('Look Ups'!AM$5-'Look Ups'!AM$3)*('Look Ups'!AM$6-'Look Ups'!AM$4)+'Look Ups'!AM$4))/100*WS</f>
        <v>579.95500000000004</v>
      </c>
      <c r="AE168" s="269">
        <f t="shared" ca="1" si="4"/>
        <v>5799.55</v>
      </c>
      <c r="AF168" s="267">
        <f t="shared" ca="1" si="5"/>
        <v>5799.55</v>
      </c>
      <c r="AG168" s="94" t="s">
        <v>145</v>
      </c>
      <c r="AH168" s="95" t="s">
        <v>146</v>
      </c>
      <c r="AI168" s="96" t="s">
        <v>147</v>
      </c>
      <c r="AJ168" s="218"/>
      <c r="AK168" s="273">
        <f>IF(C168="",0,VLOOKUP(AG168,'Look Ups'!$F$3:$G$6,2,0)*VLOOKUP(AH168,'Look Ups'!$I$3:$J$5,2,0)*VLOOKUP(AI168,'Look Ups'!$L$3:$M$7,2,0)*IF(AJ168="",1,VLOOKUP(AJ168,'Look Ups'!$O$3:$P$4,2,0)))</f>
        <v>1</v>
      </c>
      <c r="AL168" s="83">
        <v>15.3</v>
      </c>
      <c r="AM168" s="91">
        <v>15.275</v>
      </c>
      <c r="AN168" s="91">
        <v>4.2</v>
      </c>
      <c r="AO168" s="91">
        <v>0.125</v>
      </c>
      <c r="AP168" s="91">
        <v>0.247</v>
      </c>
      <c r="AQ168" s="91">
        <v>14.85</v>
      </c>
      <c r="AR168" s="91">
        <v>9.5000000000000001E-2</v>
      </c>
      <c r="AS168" s="91">
        <v>4.4000000000000004</v>
      </c>
      <c r="AT168" s="91">
        <v>7.4999999999999997E-2</v>
      </c>
      <c r="AU168" s="91">
        <v>0</v>
      </c>
      <c r="AV168" s="91" t="s">
        <v>148</v>
      </c>
      <c r="AW168" s="97">
        <v>0</v>
      </c>
      <c r="AX168" s="256">
        <f t="shared" si="6"/>
        <v>14.924999999999999</v>
      </c>
      <c r="AY168" s="256">
        <f t="shared" si="7"/>
        <v>0</v>
      </c>
      <c r="AZ168" s="275">
        <f>IF(C168="",0,(0.5*(_ML1*LPM)+0.5*(_ML1*HB)+0.66*(P*PR)+0.66*(_ML2*RDM)+0.66*(E*ER))*VLOOKUP(BATT,'Look Ups'!$U$3:$V$4,2,0))</f>
        <v>36.725275499999995</v>
      </c>
      <c r="BA168" s="98"/>
      <c r="BB168" s="99"/>
      <c r="BC168" s="83">
        <v>16.7</v>
      </c>
      <c r="BD168" s="91">
        <v>6.65</v>
      </c>
      <c r="BE168" s="91">
        <v>7.1</v>
      </c>
      <c r="BF168" s="91">
        <v>0.14000000000000001</v>
      </c>
      <c r="BG168" s="91">
        <v>15.6</v>
      </c>
      <c r="BH168" s="91"/>
      <c r="BI168" s="91"/>
      <c r="BJ168" s="91">
        <v>-0.46500000000000002</v>
      </c>
      <c r="BK168" s="91">
        <v>-0.25</v>
      </c>
      <c r="BL168" s="97"/>
      <c r="BM168" s="275">
        <f t="shared" si="8"/>
        <v>48.6404</v>
      </c>
      <c r="BN168" s="319"/>
      <c r="BO168" s="320"/>
      <c r="BP168" s="321"/>
      <c r="BQ168" s="321"/>
      <c r="BR168" s="320"/>
      <c r="BS168" s="321"/>
      <c r="BT168" s="321"/>
      <c r="BU168" s="280">
        <f t="shared" si="9"/>
        <v>0</v>
      </c>
      <c r="BV168" s="322"/>
      <c r="BW168" s="320"/>
      <c r="BX168" s="320"/>
      <c r="BY168" s="320"/>
      <c r="BZ168" s="320"/>
      <c r="CA168" s="320"/>
      <c r="CB168" s="320"/>
      <c r="CC168" s="275">
        <f t="shared" si="10"/>
        <v>0</v>
      </c>
      <c r="CD168" s="98">
        <v>9.19</v>
      </c>
      <c r="CE168" s="91">
        <v>17.5</v>
      </c>
      <c r="CF168" s="91">
        <v>15.86</v>
      </c>
      <c r="CG168" s="91">
        <v>8.92</v>
      </c>
      <c r="CH168" s="266">
        <f t="shared" si="11"/>
        <v>97.062023939064204</v>
      </c>
      <c r="CI168" s="320"/>
      <c r="CJ168" s="280">
        <f t="shared" si="12"/>
        <v>124.73859999999999</v>
      </c>
      <c r="CK168" s="83"/>
      <c r="CL168" s="91"/>
      <c r="CM168" s="91"/>
      <c r="CN168" s="91"/>
      <c r="CO168" s="256" t="str">
        <f t="shared" si="13"/>
        <v/>
      </c>
      <c r="CP168" s="320"/>
      <c r="CQ168" s="256">
        <f t="shared" si="14"/>
        <v>0</v>
      </c>
      <c r="CR168" s="256" t="str">
        <f>IF(CO168&lt;'Look Ups'!$AC$4,"Yes","No")</f>
        <v>No</v>
      </c>
      <c r="CS168" s="293">
        <f>IF(CR168="Yes",MIN(150,('Look Ups'!$AC$4-PSCR)/('Look Ups'!$AC$4-'Look Ups'!$AC$3)*100),0)</f>
        <v>0</v>
      </c>
      <c r="CT168" s="83"/>
      <c r="CU168" s="91"/>
      <c r="CV168" s="91"/>
      <c r="CW168" s="91"/>
      <c r="CX168" s="256" t="str">
        <f t="shared" si="15"/>
        <v/>
      </c>
      <c r="CY168" s="293">
        <f>IF(PUSCR&lt;'Look Ups'!$AC$4,MIN(150,('Look Ups'!$AC$4-PUSCR)/('Look Ups'!$AC$4-'Look Ups'!$AC$3)*100),0)</f>
        <v>0</v>
      </c>
      <c r="CZ168" s="275">
        <f>IF(PUSCR&lt;'Look Ups'!$AC$4,USCRF*(USCRL1+USCRL2)/4+(USCRMG-USCRF/2)*(USCRL1+USCRL2)/3,0)</f>
        <v>0</v>
      </c>
      <c r="DA168" s="294">
        <f t="shared" si="16"/>
        <v>1</v>
      </c>
      <c r="DB168" s="256">
        <f t="shared" si="17"/>
        <v>36.725275499999995</v>
      </c>
      <c r="DC168" s="256">
        <f t="shared" si="18"/>
        <v>1</v>
      </c>
      <c r="DD168" s="256">
        <f t="shared" si="19"/>
        <v>48.6404</v>
      </c>
      <c r="DE168" s="256">
        <f>IF(AZ168&gt;0,'Look Ups'!$S$3,0)</f>
        <v>1</v>
      </c>
      <c r="DF168" s="256">
        <f t="shared" si="20"/>
        <v>0</v>
      </c>
      <c r="DG168" s="256">
        <f t="shared" si="21"/>
        <v>0</v>
      </c>
      <c r="DH168" s="256">
        <f t="shared" si="22"/>
        <v>0</v>
      </c>
      <c r="DI168" s="280">
        <f t="shared" si="23"/>
        <v>0</v>
      </c>
      <c r="DJ168" s="295" t="str">
        <f t="shared" si="24"/>
        <v>-</v>
      </c>
      <c r="DK168" s="266" t="str">
        <f t="shared" si="25"/>
        <v>valid</v>
      </c>
      <c r="DL168" s="267" t="str">
        <f t="shared" si="26"/>
        <v>MGSP</v>
      </c>
      <c r="DM168" s="294">
        <f t="shared" si="27"/>
        <v>85.365675499999995</v>
      </c>
      <c r="DN168" s="256">
        <f>IF(MSASP&gt;0,'Look Ups'!$AI$4*(ZVAL*MSASP-RSAG),0)</f>
        <v>22.829459999999997</v>
      </c>
      <c r="DO168" s="256">
        <f>IF(AND(MSASC&gt;0,(MSASC&gt;=0.36*RSAM)),('Look Ups'!$AI$3*(ZVAL*MSASC-RSAG)),(0))</f>
        <v>0</v>
      </c>
      <c r="DP168" s="256">
        <f>IF(MSASP&gt;0,'Look Ups'!$AI$5*(ZVAL*MSASP-RSAG),0)</f>
        <v>21.307496</v>
      </c>
      <c r="DQ168" s="256">
        <f>IF(MSASC&gt;0,'Look Ups'!$AI$6*(MSASC-RSAG),0)</f>
        <v>0</v>
      </c>
      <c r="DR168" s="280">
        <f>'Look Ups'!$AI$7*MAX(IF(MSAUSC&gt;0,EUSC/100*(MSAUSC-RSAG),0),IF(CR168="Yes",ELSC/100*(MSASC-RSAG),0))</f>
        <v>0</v>
      </c>
      <c r="DS168" s="280">
        <f t="shared" si="28"/>
        <v>13.221099179999998</v>
      </c>
      <c r="DT168" s="296">
        <f t="shared" si="29"/>
        <v>108.19513549999999</v>
      </c>
      <c r="DU168" s="14"/>
    </row>
    <row r="169" spans="1:125" ht="15.6" customHeight="1" x14ac:dyDescent="0.3">
      <c r="A169" s="4"/>
      <c r="B169" s="365"/>
      <c r="C169" s="369" t="s">
        <v>630</v>
      </c>
      <c r="D169" s="370" t="s">
        <v>631</v>
      </c>
      <c r="E169" s="371" t="s">
        <v>632</v>
      </c>
      <c r="F169" s="252">
        <f t="shared" ca="1" si="0"/>
        <v>0</v>
      </c>
      <c r="G169" s="252" t="e">
        <f ca="1">IF(OR(FLSCR="ERROR",FLSPI="ERROR"),"No",IF(TODAY()-'Look Ups'!$D$4*365&gt;I169,"WP Applied","Yes"))</f>
        <v>#N/A</v>
      </c>
      <c r="H169" s="253" t="e">
        <f t="shared" si="1"/>
        <v>#N/A</v>
      </c>
      <c r="I169" s="1">
        <v>39739</v>
      </c>
      <c r="J169" s="1">
        <v>39748</v>
      </c>
      <c r="K169" s="87" t="s">
        <v>218</v>
      </c>
      <c r="L169" s="87" t="s">
        <v>241</v>
      </c>
      <c r="M169" s="207"/>
      <c r="N169" s="88" t="s">
        <v>271</v>
      </c>
      <c r="O169" s="88"/>
      <c r="P169" s="89"/>
      <c r="Q169" s="90"/>
      <c r="R169" s="87"/>
      <c r="S169" s="256">
        <f t="shared" si="2"/>
        <v>0</v>
      </c>
      <c r="T169" s="117"/>
      <c r="U169" s="117"/>
      <c r="V169" s="258">
        <f t="shared" si="3"/>
        <v>0</v>
      </c>
      <c r="W169" s="259">
        <f>IF(RL&gt;0,IF(RL&gt;'Look Ups'!Y$7,'Look Ups'!Y$8,('Look Ups'!Y$3*RL^3+'Look Ups'!Y$4*RL^2+'Look Ups'!Y$5*RL+'Look Ups'!Y$6)),0)</f>
        <v>0</v>
      </c>
      <c r="X169" s="92"/>
      <c r="Y169" s="263">
        <f ca="1">IF(WDATE&lt;(TODAY()-'Look Ups'!$D$4*365),-WM*'Look Ups'!$D$5/100,0)</f>
        <v>0</v>
      </c>
      <c r="Z169" s="103"/>
      <c r="AA169" s="109"/>
      <c r="AB169" s="109"/>
      <c r="AC169" s="265">
        <f>WCD+NC*'Look Ups'!$AF$3</f>
        <v>0</v>
      </c>
      <c r="AD169" s="265">
        <f ca="1">IF(RL&lt;'Look Ups'!AM$3,'Look Ups'!AM$4,IF(RL&gt;'Look Ups'!AM$5,'Look Ups'!AM$6,(RL-'Look Ups'!AM$3)/('Look Ups'!AM$5-'Look Ups'!AM$3)*('Look Ups'!AM$6-'Look Ups'!AM$4)+'Look Ups'!AM$4))/100*WS</f>
        <v>0</v>
      </c>
      <c r="AE169" s="269">
        <f t="shared" ca="1" si="4"/>
        <v>0</v>
      </c>
      <c r="AF169" s="267">
        <f t="shared" ca="1" si="5"/>
        <v>0</v>
      </c>
      <c r="AG169" s="94" t="s">
        <v>145</v>
      </c>
      <c r="AH169" s="95" t="s">
        <v>146</v>
      </c>
      <c r="AI169" s="96" t="s">
        <v>147</v>
      </c>
      <c r="AJ169" s="218"/>
      <c r="AK169" s="273">
        <f>IF(C169="",0,VLOOKUP(AG169,'Look Ups'!$F$3:$G$6,2,0)*VLOOKUP(AH169,'Look Ups'!$I$3:$J$5,2,0)*VLOOKUP(AI169,'Look Ups'!$L$3:$M$7,2,0)*IF(AJ169="",1,VLOOKUP(AJ169,'Look Ups'!$O$3:$P$4,2,0)))</f>
        <v>1</v>
      </c>
      <c r="AL169" s="83"/>
      <c r="AM169" s="91"/>
      <c r="AN169" s="91"/>
      <c r="AO169" s="91"/>
      <c r="AP169" s="91"/>
      <c r="AQ169" s="91"/>
      <c r="AR169" s="91"/>
      <c r="AS169" s="91"/>
      <c r="AT169" s="91"/>
      <c r="AU169" s="91"/>
      <c r="AV169" s="91"/>
      <c r="AW169" s="97"/>
      <c r="AX169" s="256">
        <f t="shared" si="6"/>
        <v>0</v>
      </c>
      <c r="AY169" s="256">
        <f t="shared" si="7"/>
        <v>0</v>
      </c>
      <c r="AZ169" s="275" t="e">
        <f>IF(C169="",0,(0.5*(_ML1*LPM)+0.5*(_ML1*HB)+0.66*(P*PR)+0.66*(_ML2*RDM)+0.66*(E*ER))*VLOOKUP(BATT,'Look Ups'!$U$3:$V$4,2,0))</f>
        <v>#N/A</v>
      </c>
      <c r="BA169" s="98"/>
      <c r="BB169" s="99"/>
      <c r="BC169" s="83">
        <v>10.33</v>
      </c>
      <c r="BD169" s="91">
        <v>3.81</v>
      </c>
      <c r="BE169" s="91">
        <v>4.2</v>
      </c>
      <c r="BF169" s="91">
        <v>0.15</v>
      </c>
      <c r="BG169" s="91">
        <v>9.4</v>
      </c>
      <c r="BH169" s="91"/>
      <c r="BI169" s="91"/>
      <c r="BJ169" s="91">
        <v>-0.06</v>
      </c>
      <c r="BK169" s="91">
        <v>0.01</v>
      </c>
      <c r="BL169" s="97"/>
      <c r="BM169" s="275">
        <f t="shared" si="8"/>
        <v>19.790388</v>
      </c>
      <c r="BN169" s="319"/>
      <c r="BO169" s="320"/>
      <c r="BP169" s="321"/>
      <c r="BQ169" s="321"/>
      <c r="BR169" s="320"/>
      <c r="BS169" s="321"/>
      <c r="BT169" s="321"/>
      <c r="BU169" s="280">
        <f t="shared" si="9"/>
        <v>0</v>
      </c>
      <c r="BV169" s="322"/>
      <c r="BW169" s="320"/>
      <c r="BX169" s="320"/>
      <c r="BY169" s="320"/>
      <c r="BZ169" s="320"/>
      <c r="CA169" s="320"/>
      <c r="CB169" s="320"/>
      <c r="CC169" s="275">
        <f t="shared" si="10"/>
        <v>0</v>
      </c>
      <c r="CD169" s="98">
        <v>7.33</v>
      </c>
      <c r="CE169" s="91">
        <v>12.1</v>
      </c>
      <c r="CF169" s="91">
        <v>10.1</v>
      </c>
      <c r="CG169" s="91">
        <v>6.6</v>
      </c>
      <c r="CH169" s="266">
        <f t="shared" si="11"/>
        <v>90.040927694406548</v>
      </c>
      <c r="CI169" s="320"/>
      <c r="CJ169" s="280">
        <f t="shared" si="12"/>
        <v>62.400499999999994</v>
      </c>
      <c r="CK169" s="83">
        <v>6.96</v>
      </c>
      <c r="CL169" s="91">
        <v>11.34</v>
      </c>
      <c r="CM169" s="91">
        <v>10.09</v>
      </c>
      <c r="CN169" s="91">
        <v>3.52</v>
      </c>
      <c r="CO169" s="256">
        <f t="shared" si="13"/>
        <v>50.574712643678168</v>
      </c>
      <c r="CP169" s="320"/>
      <c r="CQ169" s="256">
        <f t="shared" si="14"/>
        <v>37.573933333333329</v>
      </c>
      <c r="CR169" s="256" t="str">
        <f>IF(CO169&lt;'Look Ups'!$AC$4,"Yes","No")</f>
        <v>Yes</v>
      </c>
      <c r="CS169" s="293">
        <f>IF(CR169="Yes",MIN(150,('Look Ups'!$AC$4-PSCR)/('Look Ups'!$AC$4-'Look Ups'!$AC$3)*100),0)</f>
        <v>28.505747126436631</v>
      </c>
      <c r="CT169" s="83"/>
      <c r="CU169" s="91"/>
      <c r="CV169" s="91"/>
      <c r="CW169" s="91"/>
      <c r="CX169" s="256" t="str">
        <f t="shared" si="15"/>
        <v/>
      </c>
      <c r="CY169" s="293">
        <f>IF(PUSCR&lt;'Look Ups'!$AC$4,MIN(150,('Look Ups'!$AC$4-PUSCR)/('Look Ups'!$AC$4-'Look Ups'!$AC$3)*100),0)</f>
        <v>0</v>
      </c>
      <c r="CZ169" s="275">
        <f>IF(PUSCR&lt;'Look Ups'!$AC$4,USCRF*(USCRL1+USCRL2)/4+(USCRMG-USCRF/2)*(USCRL1+USCRL2)/3,0)</f>
        <v>0</v>
      </c>
      <c r="DA169" s="294" t="e">
        <f t="shared" si="16"/>
        <v>#N/A</v>
      </c>
      <c r="DB169" s="256" t="e">
        <f t="shared" si="17"/>
        <v>#N/A</v>
      </c>
      <c r="DC169" s="256" t="e">
        <f t="shared" si="18"/>
        <v>#N/A</v>
      </c>
      <c r="DD169" s="256" t="e">
        <f t="shared" si="19"/>
        <v>#N/A</v>
      </c>
      <c r="DE169" s="256" t="e">
        <f>IF(AZ169&gt;0,'Look Ups'!$S$3,0)</f>
        <v>#N/A</v>
      </c>
      <c r="DF169" s="256">
        <f t="shared" si="20"/>
        <v>0</v>
      </c>
      <c r="DG169" s="256">
        <f t="shared" si="21"/>
        <v>0</v>
      </c>
      <c r="DH169" s="256">
        <f t="shared" si="22"/>
        <v>0</v>
      </c>
      <c r="DI169" s="280">
        <f t="shared" si="23"/>
        <v>0</v>
      </c>
      <c r="DJ169" s="295" t="str">
        <f t="shared" si="24"/>
        <v>valid</v>
      </c>
      <c r="DK169" s="266" t="e">
        <f t="shared" si="25"/>
        <v>#N/A</v>
      </c>
      <c r="DL169" s="267" t="e">
        <f t="shared" si="26"/>
        <v>#N/A</v>
      </c>
      <c r="DM169" s="294" t="e">
        <f t="shared" si="27"/>
        <v>#N/A</v>
      </c>
      <c r="DN169" s="256" t="e">
        <f>IF(MSASP&gt;0,'Look Ups'!$AI$4*(ZVAL*MSASP-RSAG),0)</f>
        <v>#N/A</v>
      </c>
      <c r="DO169" s="256" t="e">
        <f>IF(AND(MSASC&gt;0,(MSASC&gt;=0.36*RSAM)),('Look Ups'!$AI$3*(ZVAL*MSASC-RSAG)),(0))</f>
        <v>#N/A</v>
      </c>
      <c r="DP169" s="256" t="e">
        <f>IF(MSASP&gt;0,'Look Ups'!$AI$5*(ZVAL*MSASP-RSAG),0)</f>
        <v>#N/A</v>
      </c>
      <c r="DQ169" s="256" t="e">
        <f>IF(MSASC&gt;0,'Look Ups'!$AI$6*(MSASC-RSAG),0)</f>
        <v>#N/A</v>
      </c>
      <c r="DR169" s="280" t="e">
        <f>'Look Ups'!$AI$7*MAX(IF(MSAUSC&gt;0,EUSC/100*(MSAUSC-RSAG),0),IF(CR169="Yes",ELSC/100*(MSASC-RSAG),0))</f>
        <v>#N/A</v>
      </c>
      <c r="DS169" s="280" t="e">
        <f t="shared" si="28"/>
        <v>#N/A</v>
      </c>
      <c r="DT169" s="296" t="e">
        <f t="shared" si="29"/>
        <v>#N/A</v>
      </c>
      <c r="DU169" s="14"/>
    </row>
    <row r="170" spans="1:125" ht="15.6" customHeight="1" x14ac:dyDescent="0.3">
      <c r="A170" s="4"/>
      <c r="B170" s="365"/>
      <c r="C170" s="369" t="s">
        <v>633</v>
      </c>
      <c r="D170" s="370" t="s">
        <v>634</v>
      </c>
      <c r="E170" s="371" t="s">
        <v>635</v>
      </c>
      <c r="F170" s="252">
        <f t="shared" ca="1" si="0"/>
        <v>0.80200000000000005</v>
      </c>
      <c r="G170" s="252" t="str">
        <f ca="1">IF(OR(FLSCR="ERROR",FLSPI="ERROR"),"No",IF(TODAY()-'Look Ups'!$D$4*365&gt;I170,"WP Applied","Yes"))</f>
        <v>WP Applied</v>
      </c>
      <c r="H170" s="253" t="str">
        <f t="shared" si="1"/>
        <v>Main-Genoa-Spinnaker</v>
      </c>
      <c r="I170" s="1">
        <v>40502</v>
      </c>
      <c r="J170" s="1">
        <v>40504</v>
      </c>
      <c r="K170" s="87" t="s">
        <v>240</v>
      </c>
      <c r="L170" s="87" t="s">
        <v>636</v>
      </c>
      <c r="M170" s="207"/>
      <c r="N170" s="88" t="s">
        <v>165</v>
      </c>
      <c r="O170" s="88" t="s">
        <v>144</v>
      </c>
      <c r="P170" s="89"/>
      <c r="Q170" s="90">
        <v>5.92</v>
      </c>
      <c r="R170" s="87"/>
      <c r="S170" s="256">
        <f t="shared" si="2"/>
        <v>0.14799999999999999</v>
      </c>
      <c r="T170" s="117">
        <v>0.43</v>
      </c>
      <c r="U170" s="117">
        <v>0</v>
      </c>
      <c r="V170" s="258">
        <f t="shared" si="3"/>
        <v>5.49</v>
      </c>
      <c r="W170" s="259">
        <f>IF(RL&gt;0,IF(RL&gt;'Look Ups'!Y$7,'Look Ups'!Y$8,('Look Ups'!Y$3*RL^3+'Look Ups'!Y$4*RL^2+'Look Ups'!Y$5*RL+'Look Ups'!Y$6)),0)</f>
        <v>0.28081934191699998</v>
      </c>
      <c r="X170" s="92">
        <v>500</v>
      </c>
      <c r="Y170" s="263">
        <f ca="1">IF(WDATE&lt;(TODAY()-'Look Ups'!$D$4*365),-WM*'Look Ups'!$D$5/100,0)</f>
        <v>-75</v>
      </c>
      <c r="Z170" s="103"/>
      <c r="AA170" s="109"/>
      <c r="AB170" s="109"/>
      <c r="AC170" s="265">
        <f>WCD+NC*'Look Ups'!$AF$3</f>
        <v>0</v>
      </c>
      <c r="AD170" s="265">
        <f ca="1">IF(RL&lt;'Look Ups'!AM$3,'Look Ups'!AM$4,IF(RL&gt;'Look Ups'!AM$5,'Look Ups'!AM$6,(RL-'Look Ups'!AM$3)/('Look Ups'!AM$5-'Look Ups'!AM$3)*('Look Ups'!AM$6-'Look Ups'!AM$4)+'Look Ups'!AM$4))/100*WS</f>
        <v>127.5</v>
      </c>
      <c r="AE170" s="269">
        <f t="shared" ca="1" si="4"/>
        <v>425</v>
      </c>
      <c r="AF170" s="267">
        <f t="shared" ca="1" si="5"/>
        <v>425</v>
      </c>
      <c r="AG170" s="94" t="s">
        <v>145</v>
      </c>
      <c r="AH170" s="95" t="s">
        <v>146</v>
      </c>
      <c r="AI170" s="96" t="s">
        <v>147</v>
      </c>
      <c r="AJ170" s="218"/>
      <c r="AK170" s="273">
        <f>IF(C170="",0,VLOOKUP(AG170,'Look Ups'!$F$3:$G$6,2,0)*VLOOKUP(AH170,'Look Ups'!$I$3:$J$5,2,0)*VLOOKUP(AI170,'Look Ups'!$L$3:$M$7,2,0)*IF(AJ170="",1,VLOOKUP(AJ170,'Look Ups'!$O$3:$P$4,2,0)))</f>
        <v>1</v>
      </c>
      <c r="AL170" s="83">
        <v>8.0399999999999991</v>
      </c>
      <c r="AM170" s="91">
        <v>7.85</v>
      </c>
      <c r="AN170" s="91">
        <v>2.4300000000000002</v>
      </c>
      <c r="AO170" s="91">
        <v>0.55500000000000005</v>
      </c>
      <c r="AP170" s="91">
        <v>0.185</v>
      </c>
      <c r="AQ170" s="91">
        <v>7.92</v>
      </c>
      <c r="AR170" s="91">
        <v>0.1</v>
      </c>
      <c r="AS170" s="91">
        <v>2.92</v>
      </c>
      <c r="AT170" s="91">
        <v>0</v>
      </c>
      <c r="AU170" s="91">
        <v>0.13</v>
      </c>
      <c r="AV170" s="91" t="s">
        <v>148</v>
      </c>
      <c r="AW170" s="97">
        <v>0</v>
      </c>
      <c r="AX170" s="256">
        <f t="shared" si="6"/>
        <v>7.92</v>
      </c>
      <c r="AY170" s="256">
        <f t="shared" si="7"/>
        <v>0.3861</v>
      </c>
      <c r="AZ170" s="275">
        <f>IF(C170="",0,(0.5*(_ML1*LPM)+0.5*(_ML1*HB)+0.66*(P*PR)+0.66*(_ML2*RDM)+0.66*(E*ER))*VLOOKUP(BATT,'Look Ups'!$U$3:$V$4,2,0))</f>
        <v>13.480904999999998</v>
      </c>
      <c r="BA170" s="98"/>
      <c r="BB170" s="99"/>
      <c r="BC170" s="83">
        <v>5.34</v>
      </c>
      <c r="BD170" s="91">
        <v>1.7650000000000001</v>
      </c>
      <c r="BE170" s="91">
        <v>1.92</v>
      </c>
      <c r="BF170" s="91">
        <v>0.105</v>
      </c>
      <c r="BG170" s="91">
        <v>4.82</v>
      </c>
      <c r="BH170" s="91"/>
      <c r="BI170" s="91"/>
      <c r="BJ170" s="91">
        <v>0.06</v>
      </c>
      <c r="BK170" s="91">
        <v>0.04</v>
      </c>
      <c r="BL170" s="97">
        <v>0</v>
      </c>
      <c r="BM170" s="275">
        <f t="shared" si="8"/>
        <v>5.177454</v>
      </c>
      <c r="BN170" s="319"/>
      <c r="BO170" s="320"/>
      <c r="BP170" s="321"/>
      <c r="BQ170" s="321"/>
      <c r="BR170" s="320"/>
      <c r="BS170" s="321"/>
      <c r="BT170" s="321"/>
      <c r="BU170" s="280">
        <f t="shared" si="9"/>
        <v>0</v>
      </c>
      <c r="BV170" s="322"/>
      <c r="BW170" s="320"/>
      <c r="BX170" s="320"/>
      <c r="BY170" s="320"/>
      <c r="BZ170" s="320"/>
      <c r="CA170" s="320"/>
      <c r="CB170" s="320"/>
      <c r="CC170" s="275">
        <f t="shared" si="10"/>
        <v>0</v>
      </c>
      <c r="CD170" s="98">
        <v>5.26</v>
      </c>
      <c r="CE170" s="91">
        <v>9.3699999999999992</v>
      </c>
      <c r="CF170" s="91">
        <v>7.78</v>
      </c>
      <c r="CG170" s="91">
        <v>5.1100000000000003</v>
      </c>
      <c r="CH170" s="266">
        <f t="shared" si="11"/>
        <v>97.148288973384041</v>
      </c>
      <c r="CI170" s="320"/>
      <c r="CJ170" s="280">
        <f t="shared" si="12"/>
        <v>36.729583333333331</v>
      </c>
      <c r="CK170" s="83"/>
      <c r="CL170" s="91"/>
      <c r="CM170" s="91"/>
      <c r="CN170" s="91"/>
      <c r="CO170" s="256" t="str">
        <f t="shared" si="13"/>
        <v/>
      </c>
      <c r="CP170" s="320"/>
      <c r="CQ170" s="256">
        <f t="shared" si="14"/>
        <v>0</v>
      </c>
      <c r="CR170" s="256" t="str">
        <f>IF(CO170&lt;'Look Ups'!$AC$4,"Yes","No")</f>
        <v>No</v>
      </c>
      <c r="CS170" s="293">
        <f>IF(CR170="Yes",MIN(150,('Look Ups'!$AC$4-PSCR)/('Look Ups'!$AC$4-'Look Ups'!$AC$3)*100),0)</f>
        <v>0</v>
      </c>
      <c r="CT170" s="83"/>
      <c r="CU170" s="91"/>
      <c r="CV170" s="91"/>
      <c r="CW170" s="91"/>
      <c r="CX170" s="256" t="str">
        <f t="shared" si="15"/>
        <v/>
      </c>
      <c r="CY170" s="293">
        <f>IF(PUSCR&lt;'Look Ups'!$AC$4,MIN(150,('Look Ups'!$AC$4-PUSCR)/('Look Ups'!$AC$4-'Look Ups'!$AC$3)*100),0)</f>
        <v>0</v>
      </c>
      <c r="CZ170" s="275">
        <f>IF(PUSCR&lt;'Look Ups'!$AC$4,USCRF*(USCRL1+USCRL2)/4+(USCRMG-USCRF/2)*(USCRL1+USCRL2)/3,0)</f>
        <v>0</v>
      </c>
      <c r="DA170" s="294">
        <f t="shared" si="16"/>
        <v>1</v>
      </c>
      <c r="DB170" s="256">
        <f t="shared" si="17"/>
        <v>13.867004999999999</v>
      </c>
      <c r="DC170" s="256">
        <f t="shared" si="18"/>
        <v>1</v>
      </c>
      <c r="DD170" s="256">
        <f t="shared" si="19"/>
        <v>5.177454</v>
      </c>
      <c r="DE170" s="256">
        <f>IF(AZ170&gt;0,'Look Ups'!$S$3,0)</f>
        <v>1</v>
      </c>
      <c r="DF170" s="256">
        <f t="shared" si="20"/>
        <v>0</v>
      </c>
      <c r="DG170" s="256">
        <f t="shared" si="21"/>
        <v>0</v>
      </c>
      <c r="DH170" s="256">
        <f t="shared" si="22"/>
        <v>0</v>
      </c>
      <c r="DI170" s="280">
        <f t="shared" si="23"/>
        <v>0</v>
      </c>
      <c r="DJ170" s="295" t="str">
        <f t="shared" si="24"/>
        <v>-</v>
      </c>
      <c r="DK170" s="266" t="str">
        <f t="shared" si="25"/>
        <v>valid</v>
      </c>
      <c r="DL170" s="267" t="str">
        <f t="shared" si="26"/>
        <v>MGSP</v>
      </c>
      <c r="DM170" s="294">
        <f t="shared" si="27"/>
        <v>19.044459</v>
      </c>
      <c r="DN170" s="256">
        <f>IF(MSASP&gt;0,'Look Ups'!$AI$4*(ZVAL*MSASP-RSAG),0)</f>
        <v>9.4656387999999989</v>
      </c>
      <c r="DO170" s="256">
        <f>IF(AND(MSASC&gt;0,(MSASC&gt;=0.36*RSAM)),('Look Ups'!$AI$3*(ZVAL*MSASC-RSAG)),(0))</f>
        <v>0</v>
      </c>
      <c r="DP170" s="256">
        <f>IF(MSASP&gt;0,'Look Ups'!$AI$5*(ZVAL*MSASP-RSAG),0)</f>
        <v>8.8345962133333327</v>
      </c>
      <c r="DQ170" s="256">
        <f>IF(MSASC&gt;0,'Look Ups'!$AI$6*(MSASC-RSAG),0)</f>
        <v>0</v>
      </c>
      <c r="DR170" s="280">
        <f>'Look Ups'!$AI$7*MAX(IF(MSAUSC&gt;0,EUSC/100*(MSAUSC-RSAG),0),IF(CR170="Yes",ELSC/100*(MSASC-RSAG),0))</f>
        <v>0</v>
      </c>
      <c r="DS170" s="280">
        <f t="shared" si="28"/>
        <v>4.9921217999999996</v>
      </c>
      <c r="DT170" s="296">
        <f t="shared" si="29"/>
        <v>28.510097799999997</v>
      </c>
      <c r="DU170" s="14"/>
    </row>
    <row r="171" spans="1:125" ht="15.6" customHeight="1" x14ac:dyDescent="0.3">
      <c r="A171" s="4"/>
      <c r="B171" s="365"/>
      <c r="C171" s="369" t="s">
        <v>637</v>
      </c>
      <c r="D171" s="370" t="s">
        <v>638</v>
      </c>
      <c r="E171" s="371" t="s">
        <v>639</v>
      </c>
      <c r="F171" s="252">
        <f t="shared" ca="1" si="0"/>
        <v>0.93300000000000005</v>
      </c>
      <c r="G171" s="252" t="str">
        <f ca="1">IF(OR(FLSCR="ERROR",FLSPI="ERROR"),"No",IF(TODAY()-'Look Ups'!$D$4*365&gt;I171,"WP Applied","Yes"))</f>
        <v>WP Applied</v>
      </c>
      <c r="H171" s="253" t="str">
        <f t="shared" si="1"/>
        <v>Main-Genoa-Spinnaker</v>
      </c>
      <c r="I171" s="1">
        <v>37878</v>
      </c>
      <c r="J171" s="1"/>
      <c r="K171" s="87" t="s">
        <v>640</v>
      </c>
      <c r="L171" s="87" t="s">
        <v>641</v>
      </c>
      <c r="M171" s="207"/>
      <c r="N171" s="88" t="s">
        <v>271</v>
      </c>
      <c r="O171" s="88"/>
      <c r="P171" s="89">
        <v>6.84</v>
      </c>
      <c r="Q171" s="90">
        <v>9.6199999999999992</v>
      </c>
      <c r="R171" s="87"/>
      <c r="S171" s="256">
        <f t="shared" si="2"/>
        <v>0.24049999999999999</v>
      </c>
      <c r="T171" s="117">
        <v>0.12</v>
      </c>
      <c r="U171" s="117">
        <v>0</v>
      </c>
      <c r="V171" s="258">
        <f t="shared" si="3"/>
        <v>9.5</v>
      </c>
      <c r="W171" s="259">
        <f>IF(RL&gt;0,IF(RL&gt;'Look Ups'!Y$7,'Look Ups'!Y$8,('Look Ups'!Y$3*RL^3+'Look Ups'!Y$4*RL^2+'Look Ups'!Y$5*RL+'Look Ups'!Y$6)),0)</f>
        <v>0.29769337500000004</v>
      </c>
      <c r="X171" s="92">
        <v>2180</v>
      </c>
      <c r="Y171" s="263">
        <f ca="1">IF(WDATE&lt;(TODAY()-'Look Ups'!$D$4*365),-WM*'Look Ups'!$D$5/100,0)</f>
        <v>-327</v>
      </c>
      <c r="Z171" s="103"/>
      <c r="AA171" s="109"/>
      <c r="AB171" s="109"/>
      <c r="AC171" s="265">
        <f>WCD+NC*'Look Ups'!$AF$3</f>
        <v>0</v>
      </c>
      <c r="AD171" s="265">
        <f ca="1">IF(RL&lt;'Look Ups'!AM$3,'Look Ups'!AM$4,IF(RL&gt;'Look Ups'!AM$5,'Look Ups'!AM$6,(RL-'Look Ups'!AM$3)/('Look Ups'!AM$5-'Look Ups'!AM$3)*('Look Ups'!AM$6-'Look Ups'!AM$4)+'Look Ups'!AM$4))/100*WS</f>
        <v>367.23090909090905</v>
      </c>
      <c r="AE171" s="269">
        <f t="shared" ca="1" si="4"/>
        <v>1853</v>
      </c>
      <c r="AF171" s="267">
        <f t="shared" ca="1" si="5"/>
        <v>1853</v>
      </c>
      <c r="AG171" s="94" t="s">
        <v>145</v>
      </c>
      <c r="AH171" s="95" t="s">
        <v>146</v>
      </c>
      <c r="AI171" s="96" t="s">
        <v>147</v>
      </c>
      <c r="AJ171" s="218"/>
      <c r="AK171" s="273">
        <f>IF(C171="",0,VLOOKUP(AG171,'Look Ups'!$F$3:$G$6,2,0)*VLOOKUP(AH171,'Look Ups'!$I$3:$J$5,2,0)*VLOOKUP(AI171,'Look Ups'!$L$3:$M$7,2,0)*IF(AJ171="",1,VLOOKUP(AJ171,'Look Ups'!$O$3:$P$4,2,0)))</f>
        <v>1</v>
      </c>
      <c r="AL171" s="83">
        <v>11.82</v>
      </c>
      <c r="AM171" s="91">
        <v>11.38</v>
      </c>
      <c r="AN171" s="91">
        <v>4.01</v>
      </c>
      <c r="AO171" s="91">
        <v>1.36</v>
      </c>
      <c r="AP171" s="91">
        <v>0.98</v>
      </c>
      <c r="AQ171" s="91">
        <v>11.81</v>
      </c>
      <c r="AR171" s="91">
        <v>0.08</v>
      </c>
      <c r="AS171" s="91">
        <v>4.28</v>
      </c>
      <c r="AT171" s="91">
        <v>0.03</v>
      </c>
      <c r="AU171" s="91">
        <v>0.4</v>
      </c>
      <c r="AV171" s="91" t="s">
        <v>148</v>
      </c>
      <c r="AW171" s="97">
        <v>0</v>
      </c>
      <c r="AX171" s="256">
        <f t="shared" si="6"/>
        <v>11.84</v>
      </c>
      <c r="AY171" s="256">
        <f t="shared" si="7"/>
        <v>1.7715000000000001</v>
      </c>
      <c r="AZ171" s="275">
        <f>IF(C171="",0,(0.5*(_ML1*LPM)+0.5*(_ML1*HB)+0.66*(P*PR)+0.66*(_ML2*RDM)+0.66*(E*ER))*VLOOKUP(BATT,'Look Ups'!$U$3:$V$4,2,0))</f>
        <v>39.805596000000001</v>
      </c>
      <c r="BA171" s="98"/>
      <c r="BB171" s="99"/>
      <c r="BC171" s="83">
        <v>10.24</v>
      </c>
      <c r="BD171" s="91">
        <v>4.8899999999999997</v>
      </c>
      <c r="BE171" s="91">
        <v>5.21</v>
      </c>
      <c r="BF171" s="91">
        <v>7.0000000000000007E-2</v>
      </c>
      <c r="BG171" s="91">
        <v>9.58</v>
      </c>
      <c r="BH171" s="91"/>
      <c r="BI171" s="91"/>
      <c r="BJ171" s="91">
        <v>-0.15</v>
      </c>
      <c r="BK171" s="91">
        <v>0</v>
      </c>
      <c r="BL171" s="97"/>
      <c r="BM171" s="275">
        <f t="shared" si="8"/>
        <v>24.329082</v>
      </c>
      <c r="BN171" s="319"/>
      <c r="BO171" s="320"/>
      <c r="BP171" s="321"/>
      <c r="BQ171" s="321"/>
      <c r="BR171" s="320"/>
      <c r="BS171" s="321"/>
      <c r="BT171" s="321"/>
      <c r="BU171" s="280">
        <f t="shared" si="9"/>
        <v>0</v>
      </c>
      <c r="BV171" s="322"/>
      <c r="BW171" s="320"/>
      <c r="BX171" s="320"/>
      <c r="BY171" s="320"/>
      <c r="BZ171" s="320"/>
      <c r="CA171" s="320"/>
      <c r="CB171" s="320"/>
      <c r="CC171" s="275">
        <f t="shared" si="10"/>
        <v>0</v>
      </c>
      <c r="CD171" s="98">
        <v>8.5500000000000007</v>
      </c>
      <c r="CE171" s="91">
        <v>13.34</v>
      </c>
      <c r="CF171" s="91">
        <v>11.86</v>
      </c>
      <c r="CG171" s="91">
        <v>8.4600000000000009</v>
      </c>
      <c r="CH171" s="266">
        <f t="shared" si="11"/>
        <v>98.94736842105263</v>
      </c>
      <c r="CI171" s="320"/>
      <c r="CJ171" s="280">
        <f t="shared" si="12"/>
        <v>89.019000000000005</v>
      </c>
      <c r="CK171" s="83"/>
      <c r="CL171" s="91"/>
      <c r="CM171" s="91"/>
      <c r="CN171" s="91"/>
      <c r="CO171" s="256" t="str">
        <f t="shared" si="13"/>
        <v/>
      </c>
      <c r="CP171" s="320"/>
      <c r="CQ171" s="256">
        <f t="shared" si="14"/>
        <v>0</v>
      </c>
      <c r="CR171" s="256" t="str">
        <f>IF(CO171&lt;'Look Ups'!$AC$4,"Yes","No")</f>
        <v>No</v>
      </c>
      <c r="CS171" s="293">
        <f>IF(CR171="Yes",MIN(150,('Look Ups'!$AC$4-PSCR)/('Look Ups'!$AC$4-'Look Ups'!$AC$3)*100),0)</f>
        <v>0</v>
      </c>
      <c r="CT171" s="83"/>
      <c r="CU171" s="91"/>
      <c r="CV171" s="91"/>
      <c r="CW171" s="91"/>
      <c r="CX171" s="256" t="str">
        <f t="shared" si="15"/>
        <v/>
      </c>
      <c r="CY171" s="293">
        <f>IF(PUSCR&lt;'Look Ups'!$AC$4,MIN(150,('Look Ups'!$AC$4-PUSCR)/('Look Ups'!$AC$4-'Look Ups'!$AC$3)*100),0)</f>
        <v>0</v>
      </c>
      <c r="CZ171" s="275">
        <f>IF(PUSCR&lt;'Look Ups'!$AC$4,USCRF*(USCRL1+USCRL2)/4+(USCRMG-USCRF/2)*(USCRL1+USCRL2)/3,0)</f>
        <v>0</v>
      </c>
      <c r="DA171" s="294">
        <f t="shared" si="16"/>
        <v>1</v>
      </c>
      <c r="DB171" s="256">
        <f t="shared" si="17"/>
        <v>41.577096000000004</v>
      </c>
      <c r="DC171" s="256">
        <f t="shared" si="18"/>
        <v>1</v>
      </c>
      <c r="DD171" s="256">
        <f t="shared" si="19"/>
        <v>24.329082</v>
      </c>
      <c r="DE171" s="256">
        <f>IF(AZ171&gt;0,'Look Ups'!$S$3,0)</f>
        <v>1</v>
      </c>
      <c r="DF171" s="256">
        <f t="shared" si="20"/>
        <v>0</v>
      </c>
      <c r="DG171" s="256">
        <f t="shared" si="21"/>
        <v>0</v>
      </c>
      <c r="DH171" s="256">
        <f t="shared" si="22"/>
        <v>0</v>
      </c>
      <c r="DI171" s="280">
        <f t="shared" si="23"/>
        <v>0</v>
      </c>
      <c r="DJ171" s="295" t="str">
        <f t="shared" si="24"/>
        <v>-</v>
      </c>
      <c r="DK171" s="266" t="str">
        <f t="shared" si="25"/>
        <v>valid</v>
      </c>
      <c r="DL171" s="267" t="str">
        <f t="shared" si="26"/>
        <v>MGSP</v>
      </c>
      <c r="DM171" s="294">
        <f t="shared" si="27"/>
        <v>65.906178000000011</v>
      </c>
      <c r="DN171" s="256">
        <f>IF(MSASP&gt;0,'Look Ups'!$AI$4*(ZVAL*MSASP-RSAG),0)</f>
        <v>19.4069754</v>
      </c>
      <c r="DO171" s="256">
        <f>IF(AND(MSASC&gt;0,(MSASC&gt;=0.36*RSAM)),('Look Ups'!$AI$3*(ZVAL*MSASC-RSAG)),(0))</f>
        <v>0</v>
      </c>
      <c r="DP171" s="256">
        <f>IF(MSASP&gt;0,'Look Ups'!$AI$5*(ZVAL*MSASP-RSAG),0)</f>
        <v>18.113177040000004</v>
      </c>
      <c r="DQ171" s="256">
        <f>IF(MSASC&gt;0,'Look Ups'!$AI$6*(MSASC-RSAG),0)</f>
        <v>0</v>
      </c>
      <c r="DR171" s="280">
        <f>'Look Ups'!$AI$7*MAX(IF(MSAUSC&gt;0,EUSC/100*(MSAUSC-RSAG),0),IF(CR171="Yes",ELSC/100*(MSASC-RSAG),0))</f>
        <v>0</v>
      </c>
      <c r="DS171" s="280">
        <f t="shared" si="28"/>
        <v>14.967754560000001</v>
      </c>
      <c r="DT171" s="296">
        <f t="shared" si="29"/>
        <v>85.313153400000004</v>
      </c>
      <c r="DU171" s="14"/>
    </row>
    <row r="172" spans="1:125" ht="15.6" customHeight="1" x14ac:dyDescent="0.3">
      <c r="A172" s="4"/>
      <c r="B172" s="365"/>
      <c r="C172" s="369" t="s">
        <v>642</v>
      </c>
      <c r="D172" s="370" t="s">
        <v>499</v>
      </c>
      <c r="E172" s="371" t="s">
        <v>643</v>
      </c>
      <c r="F172" s="252">
        <f t="shared" ca="1" si="0"/>
        <v>0.91600000000000004</v>
      </c>
      <c r="G172" s="252" t="str">
        <f ca="1">IF(OR(FLSCR="ERROR",FLSPI="ERROR"),"No",IF(TODAY()-'Look Ups'!$D$4*365&gt;I172,"WP Applied","Yes"))</f>
        <v>WP Applied</v>
      </c>
      <c r="H172" s="253" t="str">
        <f t="shared" si="1"/>
        <v>Main-Genoa-Screacher (Upwind)-Spinnaker</v>
      </c>
      <c r="I172" s="1">
        <v>40643</v>
      </c>
      <c r="J172" s="1"/>
      <c r="K172" s="87" t="s">
        <v>425</v>
      </c>
      <c r="L172" s="87" t="s">
        <v>170</v>
      </c>
      <c r="M172" s="207"/>
      <c r="N172" s="88" t="s">
        <v>165</v>
      </c>
      <c r="O172" s="88"/>
      <c r="P172" s="89"/>
      <c r="Q172" s="90">
        <v>14.06</v>
      </c>
      <c r="R172" s="87"/>
      <c r="S172" s="256">
        <f t="shared" si="2"/>
        <v>0.35150000000000003</v>
      </c>
      <c r="T172" s="117">
        <v>0.06</v>
      </c>
      <c r="U172" s="117">
        <v>0</v>
      </c>
      <c r="V172" s="258">
        <f t="shared" si="3"/>
        <v>14</v>
      </c>
      <c r="W172" s="259">
        <f>IF(RL&gt;0,IF(RL&gt;'Look Ups'!Y$7,'Look Ups'!Y$8,('Look Ups'!Y$3*RL^3+'Look Ups'!Y$4*RL^2+'Look Ups'!Y$5*RL+'Look Ups'!Y$6)),0)</f>
        <v>0.3</v>
      </c>
      <c r="X172" s="92">
        <v>5334</v>
      </c>
      <c r="Y172" s="263">
        <f ca="1">IF(WDATE&lt;(TODAY()-'Look Ups'!$D$4*365),-WM*'Look Ups'!$D$5/100,0)</f>
        <v>-800.1</v>
      </c>
      <c r="Z172" s="103"/>
      <c r="AA172" s="109"/>
      <c r="AB172" s="109"/>
      <c r="AC172" s="265">
        <f>WCD+NC*'Look Ups'!$AF$3</f>
        <v>0</v>
      </c>
      <c r="AD172" s="265">
        <f ca="1">IF(RL&lt;'Look Ups'!AM$3,'Look Ups'!AM$4,IF(RL&gt;'Look Ups'!AM$5,'Look Ups'!AM$6,(RL-'Look Ups'!AM$3)/('Look Ups'!AM$5-'Look Ups'!AM$3)*('Look Ups'!AM$6-'Look Ups'!AM$4)+'Look Ups'!AM$4))/100*WS</f>
        <v>453.39</v>
      </c>
      <c r="AE172" s="269">
        <f t="shared" ca="1" si="4"/>
        <v>4533.8999999999996</v>
      </c>
      <c r="AF172" s="267">
        <f t="shared" ca="1" si="5"/>
        <v>4533.8999999999996</v>
      </c>
      <c r="AG172" s="94" t="s">
        <v>145</v>
      </c>
      <c r="AH172" s="95" t="s">
        <v>146</v>
      </c>
      <c r="AI172" s="96" t="s">
        <v>147</v>
      </c>
      <c r="AJ172" s="218"/>
      <c r="AK172" s="273">
        <f>IF(C172="",0,VLOOKUP(AG172,'Look Ups'!$F$3:$G$6,2,0)*VLOOKUP(AH172,'Look Ups'!$I$3:$J$5,2,0)*VLOOKUP(AI172,'Look Ups'!$L$3:$M$7,2,0)*IF(AJ172="",1,VLOOKUP(AJ172,'Look Ups'!$O$3:$P$4,2,0)))</f>
        <v>1</v>
      </c>
      <c r="AL172" s="83">
        <v>15.07</v>
      </c>
      <c r="AM172" s="91">
        <v>14.31</v>
      </c>
      <c r="AN172" s="91">
        <v>5.81</v>
      </c>
      <c r="AO172" s="91">
        <v>1.96</v>
      </c>
      <c r="AP172" s="91">
        <v>0.74</v>
      </c>
      <c r="AQ172" s="91">
        <v>14.55</v>
      </c>
      <c r="AR172" s="91">
        <v>0.21</v>
      </c>
      <c r="AS172" s="91">
        <v>6.11</v>
      </c>
      <c r="AT172" s="91">
        <v>0</v>
      </c>
      <c r="AU172" s="91"/>
      <c r="AV172" s="91" t="s">
        <v>148</v>
      </c>
      <c r="AW172" s="97">
        <v>0</v>
      </c>
      <c r="AX172" s="256">
        <f t="shared" si="6"/>
        <v>14.55</v>
      </c>
      <c r="AY172" s="256">
        <f t="shared" si="7"/>
        <v>0</v>
      </c>
      <c r="AZ172" s="275">
        <f>IF(C172="",0,(0.5*(_ML1*LPM)+0.5*(_ML1*HB)+0.66*(P*PR)+0.66*(_ML2*RDM)+0.66*(E*ER))*VLOOKUP(BATT,'Look Ups'!$U$3:$V$4,2,0))</f>
        <v>67.552583999999996</v>
      </c>
      <c r="BA172" s="98"/>
      <c r="BB172" s="99"/>
      <c r="BC172" s="83">
        <v>13.59</v>
      </c>
      <c r="BD172" s="91">
        <v>3.77</v>
      </c>
      <c r="BE172" s="91">
        <v>4.2699999999999996</v>
      </c>
      <c r="BF172" s="91">
        <v>0.18</v>
      </c>
      <c r="BG172" s="91">
        <v>12.11</v>
      </c>
      <c r="BH172" s="91"/>
      <c r="BI172" s="91"/>
      <c r="BJ172" s="91">
        <v>0.24</v>
      </c>
      <c r="BK172" s="91">
        <v>0</v>
      </c>
      <c r="BL172" s="97"/>
      <c r="BM172" s="275">
        <f t="shared" si="8"/>
        <v>28.042649999999998</v>
      </c>
      <c r="BN172" s="319"/>
      <c r="BO172" s="320"/>
      <c r="BP172" s="321"/>
      <c r="BQ172" s="321"/>
      <c r="BR172" s="320"/>
      <c r="BS172" s="321"/>
      <c r="BT172" s="321"/>
      <c r="BU172" s="280">
        <f t="shared" si="9"/>
        <v>0</v>
      </c>
      <c r="BV172" s="322"/>
      <c r="BW172" s="320"/>
      <c r="BX172" s="320"/>
      <c r="BY172" s="320"/>
      <c r="BZ172" s="320"/>
      <c r="CA172" s="320"/>
      <c r="CB172" s="320"/>
      <c r="CC172" s="275">
        <f t="shared" si="10"/>
        <v>0</v>
      </c>
      <c r="CD172" s="98">
        <v>9.6999999999999993</v>
      </c>
      <c r="CE172" s="91">
        <v>17.03</v>
      </c>
      <c r="CF172" s="91">
        <v>14.21</v>
      </c>
      <c r="CG172" s="91">
        <v>8.27</v>
      </c>
      <c r="CH172" s="266">
        <f t="shared" si="11"/>
        <v>85.257731958762889</v>
      </c>
      <c r="CI172" s="320"/>
      <c r="CJ172" s="280">
        <f t="shared" si="12"/>
        <v>111.3706</v>
      </c>
      <c r="CK172" s="83">
        <v>8.91</v>
      </c>
      <c r="CL172" s="91">
        <v>14.8</v>
      </c>
      <c r="CM172" s="91">
        <v>12.83</v>
      </c>
      <c r="CN172" s="91">
        <v>4.46</v>
      </c>
      <c r="CO172" s="256">
        <f t="shared" si="13"/>
        <v>50.056116722783386</v>
      </c>
      <c r="CP172" s="320"/>
      <c r="CQ172" s="256">
        <f t="shared" si="14"/>
        <v>61.591875000000009</v>
      </c>
      <c r="CR172" s="256" t="str">
        <f>IF(CO172&lt;'Look Ups'!$AC$4,"Yes","No")</f>
        <v>Yes</v>
      </c>
      <c r="CS172" s="293">
        <f>IF(CR172="Yes",MIN(150,('Look Ups'!$AC$4-PSCR)/('Look Ups'!$AC$4-'Look Ups'!$AC$3)*100),0)</f>
        <v>38.877665544332274</v>
      </c>
      <c r="CT172" s="83"/>
      <c r="CU172" s="91"/>
      <c r="CV172" s="91"/>
      <c r="CW172" s="91"/>
      <c r="CX172" s="256" t="str">
        <f t="shared" si="15"/>
        <v/>
      </c>
      <c r="CY172" s="293">
        <f>IF(PUSCR&lt;'Look Ups'!$AC$4,MIN(150,('Look Ups'!$AC$4-PUSCR)/('Look Ups'!$AC$4-'Look Ups'!$AC$3)*100),0)</f>
        <v>0</v>
      </c>
      <c r="CZ172" s="275">
        <f>IF(PUSCR&lt;'Look Ups'!$AC$4,USCRF*(USCRL1+USCRL2)/4+(USCRMG-USCRF/2)*(USCRL1+USCRL2)/3,0)</f>
        <v>0</v>
      </c>
      <c r="DA172" s="294">
        <f t="shared" si="16"/>
        <v>1</v>
      </c>
      <c r="DB172" s="256">
        <f t="shared" si="17"/>
        <v>67.552583999999996</v>
      </c>
      <c r="DC172" s="256">
        <f t="shared" si="18"/>
        <v>1</v>
      </c>
      <c r="DD172" s="256">
        <f t="shared" si="19"/>
        <v>28.042649999999998</v>
      </c>
      <c r="DE172" s="256">
        <f>IF(AZ172&gt;0,'Look Ups'!$S$3,0)</f>
        <v>1</v>
      </c>
      <c r="DF172" s="256">
        <f t="shared" si="20"/>
        <v>0</v>
      </c>
      <c r="DG172" s="256">
        <f t="shared" si="21"/>
        <v>0</v>
      </c>
      <c r="DH172" s="256">
        <f t="shared" si="22"/>
        <v>0</v>
      </c>
      <c r="DI172" s="280">
        <f t="shared" si="23"/>
        <v>0</v>
      </c>
      <c r="DJ172" s="295" t="str">
        <f t="shared" si="24"/>
        <v>valid</v>
      </c>
      <c r="DK172" s="266" t="str">
        <f t="shared" si="25"/>
        <v>valid</v>
      </c>
      <c r="DL172" s="267" t="str">
        <f t="shared" si="26"/>
        <v>MGScrSP</v>
      </c>
      <c r="DM172" s="294">
        <f t="shared" si="27"/>
        <v>95.595233999999991</v>
      </c>
      <c r="DN172" s="256">
        <f>IF(MSASP&gt;0,'Look Ups'!$AI$4*(ZVAL*MSASP-RSAG),0)</f>
        <v>24.998384999999999</v>
      </c>
      <c r="DO172" s="256">
        <f>IF(AND(MSASC&gt;0,(MSASC&gt;=0.36*RSAM)),('Look Ups'!$AI$3*(ZVAL*MSASC-RSAG)),(0))</f>
        <v>11.742228750000002</v>
      </c>
      <c r="DP172" s="256">
        <f>IF(MSASP&gt;0,'Look Ups'!$AI$5*(ZVAL*MSASP-RSAG),0)</f>
        <v>23.331826000000003</v>
      </c>
      <c r="DQ172" s="256">
        <f>IF(MSASC&gt;0,'Look Ups'!$AI$6*(MSASC-RSAG),0)</f>
        <v>2.3484457500000007</v>
      </c>
      <c r="DR172" s="280">
        <f>'Look Ups'!$AI$7*MAX(IF(MSAUSC&gt;0,EUSC/100*(MSAUSC-RSAG),0),IF(CR172="Yes",ELSC/100*(MSASC-RSAG),0))</f>
        <v>3.2607888720538778</v>
      </c>
      <c r="DS172" s="280">
        <f t="shared" si="28"/>
        <v>24.318930239999997</v>
      </c>
      <c r="DT172" s="296">
        <f t="shared" si="29"/>
        <v>124.53629462205387</v>
      </c>
      <c r="DU172" s="14"/>
    </row>
    <row r="173" spans="1:125" ht="15.6" customHeight="1" x14ac:dyDescent="0.3">
      <c r="A173" s="4"/>
      <c r="B173" s="365"/>
      <c r="C173" s="369" t="s">
        <v>644</v>
      </c>
      <c r="D173" s="370" t="s">
        <v>645</v>
      </c>
      <c r="E173" s="371" t="s">
        <v>282</v>
      </c>
      <c r="F173" s="252">
        <f t="shared" ca="1" si="0"/>
        <v>0.81499999999999995</v>
      </c>
      <c r="G173" s="252" t="str">
        <f ca="1">IF(OR(FLSCR="ERROR",FLSPI="ERROR"),"No",IF(TODAY()-'Look Ups'!$D$4*365&gt;I173,"WP Applied","Yes"))</f>
        <v>WP Applied</v>
      </c>
      <c r="H173" s="253" t="str">
        <f t="shared" si="1"/>
        <v>Main-Genoa-Screacher</v>
      </c>
      <c r="I173" s="1">
        <v>37829</v>
      </c>
      <c r="J173" s="1"/>
      <c r="K173" s="87" t="s">
        <v>176</v>
      </c>
      <c r="L173" s="87" t="s">
        <v>641</v>
      </c>
      <c r="M173" s="207"/>
      <c r="N173" s="88" t="s">
        <v>271</v>
      </c>
      <c r="O173" s="88"/>
      <c r="P173" s="89"/>
      <c r="Q173" s="90">
        <v>7.39</v>
      </c>
      <c r="R173" s="87"/>
      <c r="S173" s="256">
        <f t="shared" si="2"/>
        <v>0.18475</v>
      </c>
      <c r="T173" s="117">
        <v>0.34</v>
      </c>
      <c r="U173" s="117">
        <v>0</v>
      </c>
      <c r="V173" s="258">
        <f t="shared" si="3"/>
        <v>7.05</v>
      </c>
      <c r="W173" s="259">
        <f>IF(RL&gt;0,IF(RL&gt;'Look Ups'!Y$7,'Look Ups'!Y$8,('Look Ups'!Y$3*RL^3+'Look Ups'!Y$4*RL^2+'Look Ups'!Y$5*RL+'Look Ups'!Y$6)),0)</f>
        <v>0.28995478662500002</v>
      </c>
      <c r="X173" s="92">
        <v>1155</v>
      </c>
      <c r="Y173" s="263">
        <f ca="1">IF(WDATE&lt;(TODAY()-'Look Ups'!$D$4*365),-WM*'Look Ups'!$D$5/100,0)</f>
        <v>-173.25</v>
      </c>
      <c r="Z173" s="103"/>
      <c r="AA173" s="109"/>
      <c r="AB173" s="109"/>
      <c r="AC173" s="265">
        <f>WCD+NC*'Look Ups'!$AF$3</f>
        <v>0</v>
      </c>
      <c r="AD173" s="265">
        <f ca="1">IF(RL&lt;'Look Ups'!AM$3,'Look Ups'!AM$4,IF(RL&gt;'Look Ups'!AM$5,'Look Ups'!AM$6,(RL-'Look Ups'!AM$3)/('Look Ups'!AM$5-'Look Ups'!AM$3)*('Look Ups'!AM$6-'Look Ups'!AM$4)+'Look Ups'!AM$4))/100*WS</f>
        <v>282.03000000000003</v>
      </c>
      <c r="AE173" s="269">
        <f t="shared" ca="1" si="4"/>
        <v>981.75</v>
      </c>
      <c r="AF173" s="267">
        <f t="shared" ca="1" si="5"/>
        <v>981.75</v>
      </c>
      <c r="AG173" s="94" t="s">
        <v>145</v>
      </c>
      <c r="AH173" s="95" t="s">
        <v>146</v>
      </c>
      <c r="AI173" s="96" t="s">
        <v>147</v>
      </c>
      <c r="AJ173" s="218"/>
      <c r="AK173" s="273">
        <f>IF(C173="",0,VLOOKUP(AG173,'Look Ups'!$F$3:$G$6,2,0)*VLOOKUP(AH173,'Look Ups'!$I$3:$J$5,2,0)*VLOOKUP(AI173,'Look Ups'!$L$3:$M$7,2,0)*IF(AJ173="",1,VLOOKUP(AJ173,'Look Ups'!$O$3:$P$4,2,0)))</f>
        <v>1</v>
      </c>
      <c r="AL173" s="83">
        <v>9.92</v>
      </c>
      <c r="AM173" s="91">
        <v>9.8800000000000008</v>
      </c>
      <c r="AN173" s="91">
        <v>2.86</v>
      </c>
      <c r="AO173" s="91">
        <v>0.14000000000000001</v>
      </c>
      <c r="AP173" s="91">
        <v>0.81</v>
      </c>
      <c r="AQ173" s="91">
        <v>9.65</v>
      </c>
      <c r="AR173" s="91">
        <v>0.13</v>
      </c>
      <c r="AS173" s="91">
        <v>2.96</v>
      </c>
      <c r="AT173" s="91">
        <v>0</v>
      </c>
      <c r="AU173" s="91">
        <v>0.35799999999999998</v>
      </c>
      <c r="AV173" s="91" t="s">
        <v>148</v>
      </c>
      <c r="AW173" s="97">
        <v>0</v>
      </c>
      <c r="AX173" s="256">
        <f t="shared" si="6"/>
        <v>9.65</v>
      </c>
      <c r="AY173" s="256">
        <f t="shared" si="7"/>
        <v>1.2955125000000001</v>
      </c>
      <c r="AZ173" s="275">
        <f>IF(C173="",0,(0.5*(_ML1*LPM)+0.5*(_ML1*HB)+0.66*(P*PR)+0.66*(_ML2*RDM)+0.66*(E*ER))*VLOOKUP(BATT,'Look Ups'!$U$3:$V$4,2,0))</f>
        <v>20.989818</v>
      </c>
      <c r="BA173" s="98"/>
      <c r="BB173" s="99"/>
      <c r="BC173" s="83">
        <v>8.65</v>
      </c>
      <c r="BD173" s="91">
        <v>3.03</v>
      </c>
      <c r="BE173" s="91">
        <v>3.375</v>
      </c>
      <c r="BF173" s="91">
        <v>0.16</v>
      </c>
      <c r="BG173" s="91">
        <v>7.79</v>
      </c>
      <c r="BH173" s="91"/>
      <c r="BI173" s="91"/>
      <c r="BJ173" s="91">
        <v>-7.0000000000000007E-2</v>
      </c>
      <c r="BK173" s="91">
        <v>-0.05</v>
      </c>
      <c r="BL173" s="97"/>
      <c r="BM173" s="275">
        <f t="shared" si="8"/>
        <v>12.815802</v>
      </c>
      <c r="BN173" s="319"/>
      <c r="BO173" s="320"/>
      <c r="BP173" s="321"/>
      <c r="BQ173" s="321"/>
      <c r="BR173" s="320"/>
      <c r="BS173" s="321"/>
      <c r="BT173" s="321"/>
      <c r="BU173" s="280">
        <f t="shared" si="9"/>
        <v>0</v>
      </c>
      <c r="BV173" s="322"/>
      <c r="BW173" s="320"/>
      <c r="BX173" s="320"/>
      <c r="BY173" s="320"/>
      <c r="BZ173" s="320"/>
      <c r="CA173" s="320"/>
      <c r="CB173" s="320"/>
      <c r="CC173" s="275">
        <f t="shared" si="10"/>
        <v>0</v>
      </c>
      <c r="CD173" s="98"/>
      <c r="CE173" s="91"/>
      <c r="CF173" s="91"/>
      <c r="CG173" s="91"/>
      <c r="CH173" s="266" t="str">
        <f t="shared" si="11"/>
        <v/>
      </c>
      <c r="CI173" s="320"/>
      <c r="CJ173" s="280">
        <f t="shared" si="12"/>
        <v>0</v>
      </c>
      <c r="CK173" s="83">
        <v>6.64</v>
      </c>
      <c r="CL173" s="91">
        <v>12.47</v>
      </c>
      <c r="CM173" s="91">
        <v>9.43</v>
      </c>
      <c r="CN173" s="91">
        <v>4.76</v>
      </c>
      <c r="CO173" s="256">
        <f t="shared" si="13"/>
        <v>71.686746987951807</v>
      </c>
      <c r="CP173" s="320"/>
      <c r="CQ173" s="256">
        <f t="shared" si="14"/>
        <v>46.866</v>
      </c>
      <c r="CR173" s="256" t="str">
        <f>IF(CO173&lt;'Look Ups'!$AC$4,"Yes","No")</f>
        <v>No</v>
      </c>
      <c r="CS173" s="293">
        <f>IF(CR173="Yes",MIN(150,('Look Ups'!$AC$4-PSCR)/('Look Ups'!$AC$4-'Look Ups'!$AC$3)*100),0)</f>
        <v>0</v>
      </c>
      <c r="CT173" s="83"/>
      <c r="CU173" s="91"/>
      <c r="CV173" s="91"/>
      <c r="CW173" s="91"/>
      <c r="CX173" s="256" t="str">
        <f t="shared" si="15"/>
        <v/>
      </c>
      <c r="CY173" s="293">
        <f>IF(PUSCR&lt;'Look Ups'!$AC$4,MIN(150,('Look Ups'!$AC$4-PUSCR)/('Look Ups'!$AC$4-'Look Ups'!$AC$3)*100),0)</f>
        <v>0</v>
      </c>
      <c r="CZ173" s="275">
        <f>IF(PUSCR&lt;'Look Ups'!$AC$4,USCRF*(USCRL1+USCRL2)/4+(USCRMG-USCRF/2)*(USCRL1+USCRL2)/3,0)</f>
        <v>0</v>
      </c>
      <c r="DA173" s="294">
        <f t="shared" si="16"/>
        <v>1</v>
      </c>
      <c r="DB173" s="256">
        <f t="shared" si="17"/>
        <v>22.285330500000001</v>
      </c>
      <c r="DC173" s="256">
        <f t="shared" si="18"/>
        <v>1</v>
      </c>
      <c r="DD173" s="256">
        <f t="shared" si="19"/>
        <v>12.815802</v>
      </c>
      <c r="DE173" s="256">
        <f>IF(AZ173&gt;0,'Look Ups'!$S$3,0)</f>
        <v>1</v>
      </c>
      <c r="DF173" s="256">
        <f t="shared" si="20"/>
        <v>0</v>
      </c>
      <c r="DG173" s="256">
        <f t="shared" si="21"/>
        <v>0</v>
      </c>
      <c r="DH173" s="256">
        <f t="shared" si="22"/>
        <v>0</v>
      </c>
      <c r="DI173" s="280">
        <f t="shared" si="23"/>
        <v>0</v>
      </c>
      <c r="DJ173" s="295" t="str">
        <f t="shared" si="24"/>
        <v>valid</v>
      </c>
      <c r="DK173" s="266" t="str">
        <f t="shared" si="25"/>
        <v>-</v>
      </c>
      <c r="DL173" s="267" t="str">
        <f t="shared" si="26"/>
        <v>MGScr</v>
      </c>
      <c r="DM173" s="294">
        <f t="shared" si="27"/>
        <v>35.101132499999999</v>
      </c>
      <c r="DN173" s="256">
        <f>IF(MSASP&gt;0,'Look Ups'!$AI$4*(ZVAL*MSASP-RSAG),0)</f>
        <v>0</v>
      </c>
      <c r="DO173" s="256">
        <f>IF(AND(MSASC&gt;0,(MSASC&gt;=0.36*RSAM)),('Look Ups'!$AI$3*(ZVAL*MSASC-RSAG)),(0))</f>
        <v>11.9175693</v>
      </c>
      <c r="DP173" s="256">
        <f>IF(MSASP&gt;0,'Look Ups'!$AI$5*(ZVAL*MSASP-RSAG),0)</f>
        <v>0</v>
      </c>
      <c r="DQ173" s="256">
        <f>IF(MSASC&gt;0,'Look Ups'!$AI$6*(MSASC-RSAG),0)</f>
        <v>2.3835138600000003</v>
      </c>
      <c r="DR173" s="280">
        <f>'Look Ups'!$AI$7*MAX(IF(MSAUSC&gt;0,EUSC/100*(MSAUSC-RSAG),0),IF(CR173="Yes",ELSC/100*(MSASC-RSAG),0))</f>
        <v>0</v>
      </c>
      <c r="DS173" s="280">
        <f t="shared" si="28"/>
        <v>8.0227189800000005</v>
      </c>
      <c r="DT173" s="296">
        <f t="shared" si="29"/>
        <v>47.018701800000002</v>
      </c>
      <c r="DU173" s="14"/>
    </row>
    <row r="174" spans="1:125" ht="15.6" customHeight="1" x14ac:dyDescent="0.3">
      <c r="A174" s="4"/>
      <c r="B174" s="365"/>
      <c r="C174" s="369" t="s">
        <v>646</v>
      </c>
      <c r="D174" s="370" t="s">
        <v>647</v>
      </c>
      <c r="E174" s="371" t="s">
        <v>648</v>
      </c>
      <c r="F174" s="252">
        <f t="shared" ca="1" si="0"/>
        <v>0.98899999999999999</v>
      </c>
      <c r="G174" s="252" t="str">
        <f ca="1">IF(OR(FLSCR="ERROR",FLSPI="ERROR"),"No",IF(TODAY()-'Look Ups'!$D$4*365&gt;I174,"WP Applied","Yes"))</f>
        <v>WP Applied</v>
      </c>
      <c r="H174" s="253" t="str">
        <f t="shared" si="1"/>
        <v>Main-Genoa-Spinnaker</v>
      </c>
      <c r="I174" s="1">
        <v>38071</v>
      </c>
      <c r="J174" s="1"/>
      <c r="K174" s="87" t="s">
        <v>594</v>
      </c>
      <c r="L174" s="87" t="s">
        <v>641</v>
      </c>
      <c r="M174" s="207"/>
      <c r="N174" s="88" t="s">
        <v>165</v>
      </c>
      <c r="O174" s="88"/>
      <c r="P174" s="89">
        <v>7.3</v>
      </c>
      <c r="Q174" s="90">
        <v>12.74</v>
      </c>
      <c r="R174" s="87"/>
      <c r="S174" s="256">
        <f t="shared" si="2"/>
        <v>0.31850000000000001</v>
      </c>
      <c r="T174" s="117">
        <v>0.42</v>
      </c>
      <c r="U174" s="117">
        <v>0</v>
      </c>
      <c r="V174" s="258">
        <f t="shared" si="3"/>
        <v>12.32</v>
      </c>
      <c r="W174" s="259">
        <f>IF(RL&gt;0,IF(RL&gt;'Look Ups'!Y$7,'Look Ups'!Y$8,('Look Ups'!Y$3*RL^3+'Look Ups'!Y$4*RL^2+'Look Ups'!Y$5*RL+'Look Ups'!Y$6)),0)</f>
        <v>0.3</v>
      </c>
      <c r="X174" s="92">
        <v>5056</v>
      </c>
      <c r="Y174" s="263">
        <f ca="1">IF(WDATE&lt;(TODAY()-'Look Ups'!$D$4*365),-WM*'Look Ups'!$D$5/100,0)</f>
        <v>-758.4</v>
      </c>
      <c r="Z174" s="103"/>
      <c r="AA174" s="109"/>
      <c r="AB174" s="109"/>
      <c r="AC174" s="265">
        <f>WCD+NC*'Look Ups'!$AF$3</f>
        <v>0</v>
      </c>
      <c r="AD174" s="265">
        <f ca="1">IF(RL&lt;'Look Ups'!AM$3,'Look Ups'!AM$4,IF(RL&gt;'Look Ups'!AM$5,'Look Ups'!AM$6,(RL-'Look Ups'!AM$3)/('Look Ups'!AM$5-'Look Ups'!AM$3)*('Look Ups'!AM$6-'Look Ups'!AM$4)+'Look Ups'!AM$4))/100*WS</f>
        <v>429.76000000000005</v>
      </c>
      <c r="AE174" s="269">
        <f t="shared" ca="1" si="4"/>
        <v>4297.6000000000004</v>
      </c>
      <c r="AF174" s="267">
        <f t="shared" ca="1" si="5"/>
        <v>4297.6000000000004</v>
      </c>
      <c r="AG174" s="94" t="s">
        <v>145</v>
      </c>
      <c r="AH174" s="95" t="s">
        <v>146</v>
      </c>
      <c r="AI174" s="96" t="s">
        <v>177</v>
      </c>
      <c r="AJ174" s="218"/>
      <c r="AK174" s="273">
        <f>IF(C174="",0,VLOOKUP(AG174,'Look Ups'!$F$3:$G$6,2,0)*VLOOKUP(AH174,'Look Ups'!$I$3:$J$5,2,0)*VLOOKUP(AI174,'Look Ups'!$L$3:$M$7,2,0)*IF(AJ174="",1,VLOOKUP(AJ174,'Look Ups'!$O$3:$P$4,2,0)))</f>
        <v>0.99</v>
      </c>
      <c r="AL174" s="83">
        <v>15.7</v>
      </c>
      <c r="AM174" s="91">
        <v>15.2</v>
      </c>
      <c r="AN174" s="91">
        <v>4.99</v>
      </c>
      <c r="AO174" s="91">
        <v>1.6</v>
      </c>
      <c r="AP174" s="91">
        <v>1.51</v>
      </c>
      <c r="AQ174" s="91">
        <v>15.7</v>
      </c>
      <c r="AR174" s="91">
        <v>0.33</v>
      </c>
      <c r="AS174" s="91">
        <v>5.09</v>
      </c>
      <c r="AT174" s="91">
        <v>0.03</v>
      </c>
      <c r="AU174" s="91">
        <v>1.2</v>
      </c>
      <c r="AV174" s="91" t="s">
        <v>148</v>
      </c>
      <c r="AW174" s="97">
        <v>0</v>
      </c>
      <c r="AX174" s="256">
        <f t="shared" si="6"/>
        <v>15.729999999999999</v>
      </c>
      <c r="AY174" s="256">
        <f t="shared" si="7"/>
        <v>7.0649999999999986</v>
      </c>
      <c r="AZ174" s="275">
        <f>IF(C174="",0,(0.5*(_ML1*LPM)+0.5*(_ML1*HB)+0.66*(P*PR)+0.66*(_ML2*RDM)+0.66*(E*ER))*VLOOKUP(BATT,'Look Ups'!$U$3:$V$4,2,0))</f>
        <v>70.400062000000005</v>
      </c>
      <c r="BA174" s="98"/>
      <c r="BB174" s="99"/>
      <c r="BC174" s="83">
        <v>14.23</v>
      </c>
      <c r="BD174" s="91">
        <v>5.34</v>
      </c>
      <c r="BE174" s="91">
        <v>5.74</v>
      </c>
      <c r="BF174" s="91">
        <v>0.08</v>
      </c>
      <c r="BG174" s="91">
        <v>13.04</v>
      </c>
      <c r="BH174" s="91"/>
      <c r="BI174" s="91"/>
      <c r="BJ174" s="91">
        <v>-0.15</v>
      </c>
      <c r="BK174" s="91">
        <v>-0.1</v>
      </c>
      <c r="BL174" s="97"/>
      <c r="BM174" s="275">
        <f t="shared" si="8"/>
        <v>36.067032000000005</v>
      </c>
      <c r="BN174" s="319"/>
      <c r="BO174" s="320"/>
      <c r="BP174" s="321"/>
      <c r="BQ174" s="321"/>
      <c r="BR174" s="320"/>
      <c r="BS174" s="321"/>
      <c r="BT174" s="321"/>
      <c r="BU174" s="280">
        <f t="shared" si="9"/>
        <v>0</v>
      </c>
      <c r="BV174" s="322"/>
      <c r="BW174" s="320"/>
      <c r="BX174" s="320"/>
      <c r="BY174" s="320"/>
      <c r="BZ174" s="320"/>
      <c r="CA174" s="320"/>
      <c r="CB174" s="320"/>
      <c r="CC174" s="275">
        <f t="shared" si="10"/>
        <v>0</v>
      </c>
      <c r="CD174" s="98">
        <v>12.27</v>
      </c>
      <c r="CE174" s="91">
        <v>19.940000000000001</v>
      </c>
      <c r="CF174" s="91">
        <v>17.71</v>
      </c>
      <c r="CG174" s="91">
        <v>12.95</v>
      </c>
      <c r="CH174" s="266">
        <f t="shared" si="11"/>
        <v>105.54197229013855</v>
      </c>
      <c r="CI174" s="320"/>
      <c r="CJ174" s="280">
        <f t="shared" si="12"/>
        <v>201.01962500000002</v>
      </c>
      <c r="CK174" s="83"/>
      <c r="CL174" s="91"/>
      <c r="CM174" s="91"/>
      <c r="CN174" s="91"/>
      <c r="CO174" s="256" t="str">
        <f t="shared" si="13"/>
        <v/>
      </c>
      <c r="CP174" s="320"/>
      <c r="CQ174" s="256">
        <f t="shared" si="14"/>
        <v>0</v>
      </c>
      <c r="CR174" s="256" t="str">
        <f>IF(CO174&lt;'Look Ups'!$AC$4,"Yes","No")</f>
        <v>No</v>
      </c>
      <c r="CS174" s="293">
        <f>IF(CR174="Yes",MIN(150,('Look Ups'!$AC$4-PSCR)/('Look Ups'!$AC$4-'Look Ups'!$AC$3)*100),0)</f>
        <v>0</v>
      </c>
      <c r="CT174" s="83"/>
      <c r="CU174" s="91"/>
      <c r="CV174" s="91"/>
      <c r="CW174" s="91"/>
      <c r="CX174" s="256" t="str">
        <f t="shared" si="15"/>
        <v/>
      </c>
      <c r="CY174" s="293">
        <f>IF(PUSCR&lt;'Look Ups'!$AC$4,MIN(150,('Look Ups'!$AC$4-PUSCR)/('Look Ups'!$AC$4-'Look Ups'!$AC$3)*100),0)</f>
        <v>0</v>
      </c>
      <c r="CZ174" s="275">
        <f>IF(PUSCR&lt;'Look Ups'!$AC$4,USCRF*(USCRL1+USCRL2)/4+(USCRMG-USCRF/2)*(USCRL1+USCRL2)/3,0)</f>
        <v>0</v>
      </c>
      <c r="DA174" s="294">
        <f t="shared" si="16"/>
        <v>1</v>
      </c>
      <c r="DB174" s="256">
        <f t="shared" si="17"/>
        <v>77.465062000000003</v>
      </c>
      <c r="DC174" s="256">
        <f t="shared" si="18"/>
        <v>1</v>
      </c>
      <c r="DD174" s="256">
        <f t="shared" si="19"/>
        <v>36.067032000000005</v>
      </c>
      <c r="DE174" s="256">
        <f>IF(AZ174&gt;0,'Look Ups'!$S$3,0)</f>
        <v>1</v>
      </c>
      <c r="DF174" s="256">
        <f t="shared" si="20"/>
        <v>0</v>
      </c>
      <c r="DG174" s="256">
        <f t="shared" si="21"/>
        <v>0</v>
      </c>
      <c r="DH174" s="256">
        <f t="shared" si="22"/>
        <v>0</v>
      </c>
      <c r="DI174" s="280">
        <f t="shared" si="23"/>
        <v>0</v>
      </c>
      <c r="DJ174" s="295" t="str">
        <f t="shared" si="24"/>
        <v>-</v>
      </c>
      <c r="DK174" s="266" t="str">
        <f t="shared" si="25"/>
        <v>valid</v>
      </c>
      <c r="DL174" s="267" t="str">
        <f t="shared" si="26"/>
        <v>MGSP</v>
      </c>
      <c r="DM174" s="294">
        <f t="shared" si="27"/>
        <v>113.532094</v>
      </c>
      <c r="DN174" s="256">
        <f>IF(MSASP&gt;0,'Look Ups'!$AI$4*(ZVAL*MSASP-RSAG),0)</f>
        <v>49.485777900000002</v>
      </c>
      <c r="DO174" s="256">
        <f>IF(AND(MSASC&gt;0,(MSASC&gt;=0.36*RSAM)),('Look Ups'!$AI$3*(ZVAL*MSASC-RSAG)),(0))</f>
        <v>0</v>
      </c>
      <c r="DP174" s="256">
        <f>IF(MSASP&gt;0,'Look Ups'!$AI$5*(ZVAL*MSASP-RSAG),0)</f>
        <v>46.186726040000003</v>
      </c>
      <c r="DQ174" s="256">
        <f>IF(MSASC&gt;0,'Look Ups'!$AI$6*(MSASC-RSAG),0)</f>
        <v>0</v>
      </c>
      <c r="DR174" s="280">
        <f>'Look Ups'!$AI$7*MAX(IF(MSAUSC&gt;0,EUSC/100*(MSAUSC-RSAG),0),IF(CR174="Yes",ELSC/100*(MSASC-RSAG),0))</f>
        <v>0</v>
      </c>
      <c r="DS174" s="280">
        <f t="shared" si="28"/>
        <v>27.887422319999999</v>
      </c>
      <c r="DT174" s="296">
        <f t="shared" si="29"/>
        <v>163.01787189999999</v>
      </c>
      <c r="DU174" s="14"/>
    </row>
    <row r="175" spans="1:125" ht="15.6" customHeight="1" x14ac:dyDescent="0.3">
      <c r="A175" s="4"/>
      <c r="B175" s="365"/>
      <c r="C175" s="369" t="s">
        <v>649</v>
      </c>
      <c r="D175" s="370"/>
      <c r="E175" s="371" t="s">
        <v>650</v>
      </c>
      <c r="F175" s="252">
        <f t="shared" ca="1" si="0"/>
        <v>0.98899999999999999</v>
      </c>
      <c r="G175" s="252" t="str">
        <f ca="1">IF(OR(FLSCR="ERROR",FLSPI="ERROR"),"No",IF(TODAY()-'Look Ups'!$D$4*365&gt;I175,"WP Applied","Yes"))</f>
        <v>WP Applied</v>
      </c>
      <c r="H175" s="253" t="str">
        <f t="shared" si="1"/>
        <v>Main-Genoa-Screacher-Spinnaker</v>
      </c>
      <c r="I175" s="1">
        <v>39343</v>
      </c>
      <c r="J175" s="1"/>
      <c r="K175" s="87" t="s">
        <v>651</v>
      </c>
      <c r="L175" s="87" t="s">
        <v>182</v>
      </c>
      <c r="M175" s="207"/>
      <c r="N175" s="88" t="s">
        <v>165</v>
      </c>
      <c r="O175" s="88"/>
      <c r="P175" s="89"/>
      <c r="Q175" s="90">
        <v>9.0299999999999994</v>
      </c>
      <c r="R175" s="87"/>
      <c r="S175" s="256">
        <f t="shared" si="2"/>
        <v>0.22575000000000001</v>
      </c>
      <c r="T175" s="117">
        <v>0.52</v>
      </c>
      <c r="U175" s="117">
        <v>0</v>
      </c>
      <c r="V175" s="258">
        <f t="shared" si="3"/>
        <v>8.51</v>
      </c>
      <c r="W175" s="259">
        <f>IF(RL&gt;0,IF(RL&gt;'Look Ups'!Y$7,'Look Ups'!Y$8,('Look Ups'!Y$3*RL^3+'Look Ups'!Y$4*RL^2+'Look Ups'!Y$5*RL+'Look Ups'!Y$6)),0)</f>
        <v>0.29539459668300005</v>
      </c>
      <c r="X175" s="92">
        <v>1385</v>
      </c>
      <c r="Y175" s="263">
        <f ca="1">IF(WDATE&lt;(TODAY()-'Look Ups'!$D$4*365),-WM*'Look Ups'!$D$5/100,0)</f>
        <v>-207.75</v>
      </c>
      <c r="Z175" s="103"/>
      <c r="AA175" s="109"/>
      <c r="AB175" s="109"/>
      <c r="AC175" s="265">
        <f>WCD+NC*'Look Ups'!$AF$3</f>
        <v>0</v>
      </c>
      <c r="AD175" s="265">
        <f ca="1">IF(RL&lt;'Look Ups'!AM$3,'Look Ups'!AM$4,IF(RL&gt;'Look Ups'!AM$5,'Look Ups'!AM$6,(RL-'Look Ups'!AM$3)/('Look Ups'!AM$5-'Look Ups'!AM$3)*('Look Ups'!AM$6-'Look Ups'!AM$4)+'Look Ups'!AM$4))/100*WS</f>
        <v>275.69054545454549</v>
      </c>
      <c r="AE175" s="269">
        <f t="shared" ca="1" si="4"/>
        <v>1177.25</v>
      </c>
      <c r="AF175" s="267">
        <f t="shared" ca="1" si="5"/>
        <v>1177.25</v>
      </c>
      <c r="AG175" s="94" t="s">
        <v>145</v>
      </c>
      <c r="AH175" s="95" t="s">
        <v>146</v>
      </c>
      <c r="AI175" s="96" t="s">
        <v>147</v>
      </c>
      <c r="AJ175" s="218"/>
      <c r="AK175" s="273">
        <f>IF(C175="",0,VLOOKUP(AG175,'Look Ups'!$F$3:$G$6,2,0)*VLOOKUP(AH175,'Look Ups'!$I$3:$J$5,2,0)*VLOOKUP(AI175,'Look Ups'!$L$3:$M$7,2,0)*IF(AJ175="",1,VLOOKUP(AJ175,'Look Ups'!$O$3:$P$4,2,0)))</f>
        <v>1</v>
      </c>
      <c r="AL175" s="83">
        <v>11.63</v>
      </c>
      <c r="AM175" s="91">
        <v>11.23</v>
      </c>
      <c r="AN175" s="91">
        <v>4.47</v>
      </c>
      <c r="AO175" s="91">
        <v>0.99</v>
      </c>
      <c r="AP175" s="91">
        <v>0.8</v>
      </c>
      <c r="AQ175" s="91">
        <v>10.92</v>
      </c>
      <c r="AR175" s="91">
        <v>0.2</v>
      </c>
      <c r="AS175" s="91">
        <v>4.7699999999999996</v>
      </c>
      <c r="AT175" s="91">
        <v>0.11</v>
      </c>
      <c r="AU175" s="91">
        <v>0</v>
      </c>
      <c r="AV175" s="91" t="s">
        <v>148</v>
      </c>
      <c r="AW175" s="97" t="s">
        <v>652</v>
      </c>
      <c r="AX175" s="256">
        <f t="shared" si="6"/>
        <v>11.03</v>
      </c>
      <c r="AY175" s="256">
        <f t="shared" si="7"/>
        <v>0</v>
      </c>
      <c r="AZ175" s="275">
        <f>IF(C175="",0,(0.5*(_ML1*LPM)+0.5*(_ML1*HB)+0.66*(P*PR)+0.66*(_ML2*RDM)+0.66*(E*ER))*VLOOKUP(BATT,'Look Ups'!$U$3:$V$4,2,0))</f>
        <v>39.467082000000005</v>
      </c>
      <c r="BA175" s="98"/>
      <c r="BB175" s="99"/>
      <c r="BC175" s="83">
        <v>10.130000000000001</v>
      </c>
      <c r="BD175" s="91">
        <v>4.0199999999999996</v>
      </c>
      <c r="BE175" s="91">
        <v>4.16</v>
      </c>
      <c r="BF175" s="91">
        <v>-7.0000000000000007E-2</v>
      </c>
      <c r="BG175" s="91">
        <v>9.93</v>
      </c>
      <c r="BH175" s="91"/>
      <c r="BI175" s="91"/>
      <c r="BJ175" s="91">
        <v>-0.03</v>
      </c>
      <c r="BK175" s="91">
        <v>-0.09</v>
      </c>
      <c r="BL175" s="97" t="s">
        <v>446</v>
      </c>
      <c r="BM175" s="275">
        <f t="shared" si="8"/>
        <v>19.370772000000002</v>
      </c>
      <c r="BN175" s="319"/>
      <c r="BO175" s="320"/>
      <c r="BP175" s="321"/>
      <c r="BQ175" s="321"/>
      <c r="BR175" s="320"/>
      <c r="BS175" s="321"/>
      <c r="BT175" s="321"/>
      <c r="BU175" s="280">
        <f t="shared" si="9"/>
        <v>0</v>
      </c>
      <c r="BV175" s="322"/>
      <c r="BW175" s="320"/>
      <c r="BX175" s="320"/>
      <c r="BY175" s="320"/>
      <c r="BZ175" s="320"/>
      <c r="CA175" s="320"/>
      <c r="CB175" s="320"/>
      <c r="CC175" s="275">
        <f t="shared" si="10"/>
        <v>0</v>
      </c>
      <c r="CD175" s="98">
        <v>9.1999999999999993</v>
      </c>
      <c r="CE175" s="91">
        <v>13</v>
      </c>
      <c r="CF175" s="91">
        <v>11.1</v>
      </c>
      <c r="CG175" s="91">
        <v>7</v>
      </c>
      <c r="CH175" s="266">
        <f t="shared" si="11"/>
        <v>76.08695652173914</v>
      </c>
      <c r="CI175" s="320"/>
      <c r="CJ175" s="280">
        <f t="shared" si="12"/>
        <v>74.710000000000008</v>
      </c>
      <c r="CK175" s="83">
        <v>5.75</v>
      </c>
      <c r="CL175" s="91">
        <v>10.26</v>
      </c>
      <c r="CM175" s="91">
        <v>9.02</v>
      </c>
      <c r="CN175" s="91">
        <v>3.06</v>
      </c>
      <c r="CO175" s="256">
        <f t="shared" si="13"/>
        <v>53.217391304347828</v>
      </c>
      <c r="CP175" s="320"/>
      <c r="CQ175" s="256">
        <f t="shared" si="14"/>
        <v>28.903933333333338</v>
      </c>
      <c r="CR175" s="256" t="str">
        <f>IF(CO175&lt;'Look Ups'!$AC$4,"Yes","No")</f>
        <v>No</v>
      </c>
      <c r="CS175" s="293">
        <f>IF(CR175="Yes",MIN(150,('Look Ups'!$AC$4-PSCR)/('Look Ups'!$AC$4-'Look Ups'!$AC$3)*100),0)</f>
        <v>0</v>
      </c>
      <c r="CT175" s="83"/>
      <c r="CU175" s="91"/>
      <c r="CV175" s="91"/>
      <c r="CW175" s="91"/>
      <c r="CX175" s="256" t="str">
        <f t="shared" si="15"/>
        <v/>
      </c>
      <c r="CY175" s="293">
        <f>IF(PUSCR&lt;'Look Ups'!$AC$4,MIN(150,('Look Ups'!$AC$4-PUSCR)/('Look Ups'!$AC$4-'Look Ups'!$AC$3)*100),0)</f>
        <v>0</v>
      </c>
      <c r="CZ175" s="275">
        <f>IF(PUSCR&lt;'Look Ups'!$AC$4,USCRF*(USCRL1+USCRL2)/4+(USCRMG-USCRF/2)*(USCRL1+USCRL2)/3,0)</f>
        <v>0</v>
      </c>
      <c r="DA175" s="294">
        <f t="shared" si="16"/>
        <v>1</v>
      </c>
      <c r="DB175" s="256">
        <f t="shared" si="17"/>
        <v>39.467082000000005</v>
      </c>
      <c r="DC175" s="256">
        <f t="shared" si="18"/>
        <v>1</v>
      </c>
      <c r="DD175" s="256">
        <f t="shared" si="19"/>
        <v>19.370772000000002</v>
      </c>
      <c r="DE175" s="256">
        <f>IF(AZ175&gt;0,'Look Ups'!$S$3,0)</f>
        <v>1</v>
      </c>
      <c r="DF175" s="256">
        <f t="shared" si="20"/>
        <v>0</v>
      </c>
      <c r="DG175" s="256">
        <f t="shared" si="21"/>
        <v>0</v>
      </c>
      <c r="DH175" s="256">
        <f t="shared" si="22"/>
        <v>0</v>
      </c>
      <c r="DI175" s="280">
        <f t="shared" si="23"/>
        <v>0</v>
      </c>
      <c r="DJ175" s="295" t="str">
        <f t="shared" si="24"/>
        <v>valid</v>
      </c>
      <c r="DK175" s="266" t="str">
        <f t="shared" si="25"/>
        <v>valid</v>
      </c>
      <c r="DL175" s="267" t="str">
        <f t="shared" si="26"/>
        <v>MGScrSP</v>
      </c>
      <c r="DM175" s="294">
        <f t="shared" si="27"/>
        <v>58.837854000000007</v>
      </c>
      <c r="DN175" s="256">
        <f>IF(MSASP&gt;0,'Look Ups'!$AI$4*(ZVAL*MSASP-RSAG),0)</f>
        <v>16.601768400000001</v>
      </c>
      <c r="DO175" s="256">
        <f>IF(AND(MSASC&gt;0,(MSASC&gt;=0.36*RSAM)),('Look Ups'!$AI$3*(ZVAL*MSASC-RSAG)),(0))</f>
        <v>3.3366064666666673</v>
      </c>
      <c r="DP175" s="256">
        <f>IF(MSASP&gt;0,'Look Ups'!$AI$5*(ZVAL*MSASP-RSAG),0)</f>
        <v>15.494983840000003</v>
      </c>
      <c r="DQ175" s="256">
        <f>IF(MSASC&gt;0,'Look Ups'!$AI$6*(MSASC-RSAG),0)</f>
        <v>0.66732129333333357</v>
      </c>
      <c r="DR175" s="280">
        <f>'Look Ups'!$AI$7*MAX(IF(MSAUSC&gt;0,EUSC/100*(MSAUSC-RSAG),0),IF(CR175="Yes",ELSC/100*(MSASC-RSAG),0))</f>
        <v>0</v>
      </c>
      <c r="DS175" s="280">
        <f t="shared" si="28"/>
        <v>14.208149520000001</v>
      </c>
      <c r="DT175" s="296">
        <f t="shared" si="29"/>
        <v>75.000159133333341</v>
      </c>
      <c r="DU175" s="14"/>
    </row>
    <row r="176" spans="1:125" ht="15.6" customHeight="1" x14ac:dyDescent="0.3">
      <c r="A176" s="4"/>
      <c r="B176" s="365"/>
      <c r="C176" s="369" t="s">
        <v>653</v>
      </c>
      <c r="D176" s="370" t="s">
        <v>347</v>
      </c>
      <c r="E176" s="371" t="s">
        <v>158</v>
      </c>
      <c r="F176" s="252">
        <f t="shared" ca="1" si="0"/>
        <v>0.90300000000000002</v>
      </c>
      <c r="G176" s="252" t="str">
        <f ca="1">IF(OR(FLSCR="ERROR",FLSPI="ERROR"),"No",IF(TODAY()-'Look Ups'!$D$4*365&gt;I176,"WP Applied","Yes"))</f>
        <v>WP Applied</v>
      </c>
      <c r="H176" s="253" t="str">
        <f t="shared" si="1"/>
        <v>Main-Genoa-Spinnaker</v>
      </c>
      <c r="I176" s="1">
        <v>40236</v>
      </c>
      <c r="J176" s="1">
        <v>40811</v>
      </c>
      <c r="K176" s="87" t="s">
        <v>365</v>
      </c>
      <c r="L176" s="87" t="s">
        <v>170</v>
      </c>
      <c r="M176" s="207"/>
      <c r="N176" s="88" t="s">
        <v>143</v>
      </c>
      <c r="O176" s="88" t="s">
        <v>144</v>
      </c>
      <c r="P176" s="89"/>
      <c r="Q176" s="90">
        <v>7.3</v>
      </c>
      <c r="R176" s="87"/>
      <c r="S176" s="256">
        <f t="shared" si="2"/>
        <v>0.1825</v>
      </c>
      <c r="T176" s="117">
        <v>0.01</v>
      </c>
      <c r="U176" s="117"/>
      <c r="V176" s="258">
        <f t="shared" si="3"/>
        <v>7.29</v>
      </c>
      <c r="W176" s="259">
        <f>IF(RL&gt;0,IF(RL&gt;'Look Ups'!Y$7,'Look Ups'!Y$8,('Look Ups'!Y$3*RL^3+'Look Ups'!Y$4*RL^2+'Look Ups'!Y$5*RL+'Look Ups'!Y$6)),0)</f>
        <v>0.29103813613700003</v>
      </c>
      <c r="X176" s="92">
        <v>980</v>
      </c>
      <c r="Y176" s="263">
        <f ca="1">IF(WDATE&lt;(TODAY()-'Look Ups'!$D$4*365),-WM*'Look Ups'!$D$5/100,0)</f>
        <v>-147</v>
      </c>
      <c r="Z176" s="103"/>
      <c r="AA176" s="109"/>
      <c r="AB176" s="109"/>
      <c r="AC176" s="265">
        <f>WCD+NC*'Look Ups'!$AF$3</f>
        <v>0</v>
      </c>
      <c r="AD176" s="265">
        <f ca="1">IF(RL&lt;'Look Ups'!AM$3,'Look Ups'!AM$4,IF(RL&gt;'Look Ups'!AM$5,'Look Ups'!AM$6,(RL-'Look Ups'!AM$3)/('Look Ups'!AM$5-'Look Ups'!AM$3)*('Look Ups'!AM$6-'Look Ups'!AM$4)+'Look Ups'!AM$4))/100*WS</f>
        <v>232.02836363636362</v>
      </c>
      <c r="AE176" s="269">
        <f t="shared" ca="1" si="4"/>
        <v>833</v>
      </c>
      <c r="AF176" s="267">
        <f t="shared" ca="1" si="5"/>
        <v>833</v>
      </c>
      <c r="AG176" s="94" t="s">
        <v>145</v>
      </c>
      <c r="AH176" s="95" t="s">
        <v>146</v>
      </c>
      <c r="AI176" s="96" t="s">
        <v>147</v>
      </c>
      <c r="AJ176" s="218"/>
      <c r="AK176" s="273">
        <f>IF(C176="",0,VLOOKUP(AG176,'Look Ups'!$F$3:$G$6,2,0)*VLOOKUP(AH176,'Look Ups'!$I$3:$J$5,2,0)*VLOOKUP(AI176,'Look Ups'!$L$3:$M$7,2,0)*IF(AJ176="",1,VLOOKUP(AJ176,'Look Ups'!$O$3:$P$4,2,0)))</f>
        <v>1</v>
      </c>
      <c r="AL176" s="83">
        <v>10.07</v>
      </c>
      <c r="AM176" s="91">
        <v>9.86</v>
      </c>
      <c r="AN176" s="91">
        <v>3.14</v>
      </c>
      <c r="AO176" s="91">
        <v>1.2</v>
      </c>
      <c r="AP176" s="91">
        <v>0.30000000000000004</v>
      </c>
      <c r="AQ176" s="91">
        <v>9.65</v>
      </c>
      <c r="AR176" s="91">
        <v>0.09</v>
      </c>
      <c r="AS176" s="91">
        <v>3.3</v>
      </c>
      <c r="AT176" s="91">
        <v>0.04</v>
      </c>
      <c r="AU176" s="91">
        <v>0.49</v>
      </c>
      <c r="AV176" s="91" t="s">
        <v>148</v>
      </c>
      <c r="AW176" s="97"/>
      <c r="AX176" s="256">
        <f t="shared" si="6"/>
        <v>9.69</v>
      </c>
      <c r="AY176" s="256">
        <f t="shared" si="7"/>
        <v>1.7731875000000001</v>
      </c>
      <c r="AZ176" s="275">
        <f>IF(C176="",0,(0.5*(_ML1*LPM)+0.5*(_ML1*HB)+0.66*(P*PR)+0.66*(_ML2*RDM)+0.66*(E*ER))*VLOOKUP(BATT,'Look Ups'!$U$3:$V$4,2,0))</f>
        <v>24.464510000000001</v>
      </c>
      <c r="BA176" s="98"/>
      <c r="BB176" s="99"/>
      <c r="BC176" s="83">
        <v>8.6999999999999993</v>
      </c>
      <c r="BD176" s="91">
        <v>2.75</v>
      </c>
      <c r="BE176" s="91">
        <v>3.08</v>
      </c>
      <c r="BF176" s="91">
        <v>0.1</v>
      </c>
      <c r="BG176" s="91">
        <v>7.81</v>
      </c>
      <c r="BH176" s="91"/>
      <c r="BI176" s="91"/>
      <c r="BJ176" s="91">
        <v>0.28000000000000003</v>
      </c>
      <c r="BK176" s="91">
        <v>0.05</v>
      </c>
      <c r="BL176" s="97"/>
      <c r="BM176" s="275">
        <f t="shared" si="8"/>
        <v>13.896167999999999</v>
      </c>
      <c r="BN176" s="319"/>
      <c r="BO176" s="320"/>
      <c r="BP176" s="321"/>
      <c r="BQ176" s="321"/>
      <c r="BR176" s="320"/>
      <c r="BS176" s="321"/>
      <c r="BT176" s="321"/>
      <c r="BU176" s="280">
        <f t="shared" si="9"/>
        <v>0</v>
      </c>
      <c r="BV176" s="322"/>
      <c r="BW176" s="320"/>
      <c r="BX176" s="320"/>
      <c r="BY176" s="320"/>
      <c r="BZ176" s="320"/>
      <c r="CA176" s="320"/>
      <c r="CB176" s="320"/>
      <c r="CC176" s="275">
        <f t="shared" si="10"/>
        <v>0</v>
      </c>
      <c r="CD176" s="98">
        <v>6.85</v>
      </c>
      <c r="CE176" s="91">
        <v>10.75</v>
      </c>
      <c r="CF176" s="91">
        <v>10</v>
      </c>
      <c r="CG176" s="91">
        <v>5.85</v>
      </c>
      <c r="CH176" s="266">
        <f t="shared" si="11"/>
        <v>85.40145985401459</v>
      </c>
      <c r="CI176" s="320"/>
      <c r="CJ176" s="280">
        <f t="shared" si="12"/>
        <v>52.307291666666657</v>
      </c>
      <c r="CK176" s="83"/>
      <c r="CL176" s="91"/>
      <c r="CM176" s="91"/>
      <c r="CN176" s="91"/>
      <c r="CO176" s="256" t="str">
        <f t="shared" si="13"/>
        <v/>
      </c>
      <c r="CP176" s="320"/>
      <c r="CQ176" s="256">
        <f t="shared" si="14"/>
        <v>0</v>
      </c>
      <c r="CR176" s="256" t="str">
        <f>IF(CO176&lt;'Look Ups'!$AC$4,"Yes","No")</f>
        <v>No</v>
      </c>
      <c r="CS176" s="293">
        <f>IF(CR176="Yes",MIN(150,('Look Ups'!$AC$4-PSCR)/('Look Ups'!$AC$4-'Look Ups'!$AC$3)*100),0)</f>
        <v>0</v>
      </c>
      <c r="CT176" s="83"/>
      <c r="CU176" s="91"/>
      <c r="CV176" s="91"/>
      <c r="CW176" s="91"/>
      <c r="CX176" s="256" t="str">
        <f t="shared" si="15"/>
        <v/>
      </c>
      <c r="CY176" s="293">
        <f>IF(PUSCR&lt;'Look Ups'!$AC$4,MIN(150,('Look Ups'!$AC$4-PUSCR)/('Look Ups'!$AC$4-'Look Ups'!$AC$3)*100),0)</f>
        <v>0</v>
      </c>
      <c r="CZ176" s="275">
        <f>IF(PUSCR&lt;'Look Ups'!$AC$4,USCRF*(USCRL1+USCRL2)/4+(USCRMG-USCRF/2)*(USCRL1+USCRL2)/3,0)</f>
        <v>0</v>
      </c>
      <c r="DA176" s="294">
        <f t="shared" si="16"/>
        <v>1</v>
      </c>
      <c r="DB176" s="256">
        <f t="shared" si="17"/>
        <v>26.237697499999999</v>
      </c>
      <c r="DC176" s="256">
        <f t="shared" si="18"/>
        <v>1</v>
      </c>
      <c r="DD176" s="256">
        <f t="shared" si="19"/>
        <v>13.896167999999999</v>
      </c>
      <c r="DE176" s="256">
        <f>IF(AZ176&gt;0,'Look Ups'!$S$3,0)</f>
        <v>1</v>
      </c>
      <c r="DF176" s="256">
        <f t="shared" si="20"/>
        <v>0</v>
      </c>
      <c r="DG176" s="256">
        <f t="shared" si="21"/>
        <v>0</v>
      </c>
      <c r="DH176" s="256">
        <f t="shared" si="22"/>
        <v>0</v>
      </c>
      <c r="DI176" s="280">
        <f t="shared" si="23"/>
        <v>0</v>
      </c>
      <c r="DJ176" s="295" t="str">
        <f t="shared" si="24"/>
        <v>-</v>
      </c>
      <c r="DK176" s="266" t="str">
        <f t="shared" si="25"/>
        <v>valid</v>
      </c>
      <c r="DL176" s="267" t="str">
        <f t="shared" si="26"/>
        <v>MGSP</v>
      </c>
      <c r="DM176" s="294">
        <f t="shared" si="27"/>
        <v>40.133865499999999</v>
      </c>
      <c r="DN176" s="256">
        <f>IF(MSASP&gt;0,'Look Ups'!$AI$4*(ZVAL*MSASP-RSAG),0)</f>
        <v>11.523337099999996</v>
      </c>
      <c r="DO176" s="256">
        <f>IF(AND(MSASC&gt;0,(MSASC&gt;=0.36*RSAM)),('Look Ups'!$AI$3*(ZVAL*MSASC-RSAG)),(0))</f>
        <v>0</v>
      </c>
      <c r="DP176" s="256">
        <f>IF(MSASP&gt;0,'Look Ups'!$AI$5*(ZVAL*MSASP-RSAG),0)</f>
        <v>10.755114626666664</v>
      </c>
      <c r="DQ176" s="256">
        <f>IF(MSASC&gt;0,'Look Ups'!$AI$6*(MSASC-RSAG),0)</f>
        <v>0</v>
      </c>
      <c r="DR176" s="280">
        <f>'Look Ups'!$AI$7*MAX(IF(MSAUSC&gt;0,EUSC/100*(MSAUSC-RSAG),0),IF(CR176="Yes",ELSC/100*(MSASC-RSAG),0))</f>
        <v>0</v>
      </c>
      <c r="DS176" s="280">
        <f t="shared" si="28"/>
        <v>9.4455710999999987</v>
      </c>
      <c r="DT176" s="296">
        <f t="shared" si="29"/>
        <v>51.657202599999991</v>
      </c>
      <c r="DU176" s="14"/>
    </row>
    <row r="177" spans="1:125" ht="15.6" customHeight="1" x14ac:dyDescent="0.3">
      <c r="A177" s="4"/>
      <c r="B177" s="365"/>
      <c r="C177" s="369" t="s">
        <v>654</v>
      </c>
      <c r="D177" s="370" t="s">
        <v>655</v>
      </c>
      <c r="E177" s="371" t="s">
        <v>656</v>
      </c>
      <c r="F177" s="252">
        <f t="shared" ca="1" si="0"/>
        <v>0.93500000000000005</v>
      </c>
      <c r="G177" s="252" t="str">
        <f ca="1">IF(OR(FLSCR="ERROR",FLSPI="ERROR"),"No",IF(TODAY()-'Look Ups'!$D$4*365&gt;I177,"WP Applied","Yes"))</f>
        <v>WP Applied</v>
      </c>
      <c r="H177" s="253" t="str">
        <f t="shared" si="1"/>
        <v>Main-Genoa-Screacher-Spinnaker</v>
      </c>
      <c r="I177" s="1">
        <v>38951</v>
      </c>
      <c r="J177" s="1">
        <v>40057</v>
      </c>
      <c r="K177" s="87" t="s">
        <v>657</v>
      </c>
      <c r="L177" s="87" t="s">
        <v>658</v>
      </c>
      <c r="M177" s="207"/>
      <c r="N177" s="88" t="s">
        <v>165</v>
      </c>
      <c r="O177" s="88"/>
      <c r="P177" s="89">
        <v>5.5</v>
      </c>
      <c r="Q177" s="90">
        <v>8.23</v>
      </c>
      <c r="R177" s="87"/>
      <c r="S177" s="256">
        <f t="shared" si="2"/>
        <v>0.20575000000000002</v>
      </c>
      <c r="T177" s="117">
        <v>0.13</v>
      </c>
      <c r="U177" s="117">
        <v>0</v>
      </c>
      <c r="V177" s="258">
        <f t="shared" si="3"/>
        <v>8.1</v>
      </c>
      <c r="W177" s="259">
        <f>IF(RL&gt;0,IF(RL&gt;'Look Ups'!Y$7,'Look Ups'!Y$8,('Look Ups'!Y$3*RL^3+'Look Ups'!Y$4*RL^2+'Look Ups'!Y$5*RL+'Look Ups'!Y$6)),0)</f>
        <v>0.29413355299999999</v>
      </c>
      <c r="X177" s="92">
        <v>1618</v>
      </c>
      <c r="Y177" s="263">
        <f ca="1">IF(WDATE&lt;(TODAY()-'Look Ups'!$D$4*365),-WM*'Look Ups'!$D$5/100,0)</f>
        <v>-242.7</v>
      </c>
      <c r="Z177" s="103"/>
      <c r="AA177" s="109"/>
      <c r="AB177" s="109"/>
      <c r="AC177" s="265">
        <f>WCD+NC*'Look Ups'!$AF$3</f>
        <v>0</v>
      </c>
      <c r="AD177" s="265">
        <f ca="1">IF(RL&lt;'Look Ups'!AM$3,'Look Ups'!AM$4,IF(RL&gt;'Look Ups'!AM$5,'Look Ups'!AM$6,(RL-'Look Ups'!AM$3)/('Look Ups'!AM$5-'Look Ups'!AM$3)*('Look Ups'!AM$6-'Look Ups'!AM$4)+'Look Ups'!AM$4))/100*WS</f>
        <v>342.57472727272727</v>
      </c>
      <c r="AE177" s="269">
        <f t="shared" ca="1" si="4"/>
        <v>1375.3</v>
      </c>
      <c r="AF177" s="267">
        <f t="shared" ca="1" si="5"/>
        <v>1375.3</v>
      </c>
      <c r="AG177" s="94" t="s">
        <v>145</v>
      </c>
      <c r="AH177" s="95" t="s">
        <v>146</v>
      </c>
      <c r="AI177" s="96" t="s">
        <v>147</v>
      </c>
      <c r="AJ177" s="218"/>
      <c r="AK177" s="273">
        <f>IF(C177="",0,VLOOKUP(AG177,'Look Ups'!$F$3:$G$6,2,0)*VLOOKUP(AH177,'Look Ups'!$I$3:$J$5,2,0)*VLOOKUP(AI177,'Look Ups'!$L$3:$M$7,2,0)*IF(AJ177="",1,VLOOKUP(AJ177,'Look Ups'!$O$3:$P$4,2,0)))</f>
        <v>1</v>
      </c>
      <c r="AL177" s="83">
        <v>11.75</v>
      </c>
      <c r="AM177" s="91">
        <v>11.5</v>
      </c>
      <c r="AN177" s="91">
        <v>3.85</v>
      </c>
      <c r="AO177" s="91">
        <v>1.52</v>
      </c>
      <c r="AP177" s="91">
        <v>0.75</v>
      </c>
      <c r="AQ177" s="91">
        <v>12.17</v>
      </c>
      <c r="AR177" s="91">
        <v>0.11</v>
      </c>
      <c r="AS177" s="91">
        <v>3.92</v>
      </c>
      <c r="AT177" s="91">
        <v>0.02</v>
      </c>
      <c r="AU177" s="91"/>
      <c r="AV177" s="91" t="s">
        <v>148</v>
      </c>
      <c r="AW177" s="97">
        <v>0</v>
      </c>
      <c r="AX177" s="256">
        <f t="shared" si="6"/>
        <v>12.19</v>
      </c>
      <c r="AY177" s="256">
        <f t="shared" si="7"/>
        <v>0</v>
      </c>
      <c r="AZ177" s="275">
        <f>IF(C177="",0,(0.5*(_ML1*LPM)+0.5*(_ML1*HB)+0.66*(P*PR)+0.66*(_ML2*RDM)+0.66*(E*ER))*VLOOKUP(BATT,'Look Ups'!$U$3:$V$4,2,0))</f>
        <v>38.176536000000006</v>
      </c>
      <c r="BA177" s="98"/>
      <c r="BB177" s="99"/>
      <c r="BC177" s="83">
        <v>9.58</v>
      </c>
      <c r="BD177" s="91">
        <v>2.67</v>
      </c>
      <c r="BE177" s="91">
        <v>2.87</v>
      </c>
      <c r="BF177" s="91">
        <v>7.0000000000000007E-2</v>
      </c>
      <c r="BG177" s="91">
        <v>10.1</v>
      </c>
      <c r="BH177" s="91"/>
      <c r="BI177" s="91"/>
      <c r="BJ177" s="91">
        <v>-0.15</v>
      </c>
      <c r="BK177" s="91">
        <v>0.08</v>
      </c>
      <c r="BL177" s="97">
        <v>0</v>
      </c>
      <c r="BM177" s="275">
        <f t="shared" si="8"/>
        <v>12.427817999999998</v>
      </c>
      <c r="BN177" s="319"/>
      <c r="BO177" s="320"/>
      <c r="BP177" s="321"/>
      <c r="BQ177" s="321"/>
      <c r="BR177" s="320"/>
      <c r="BS177" s="321"/>
      <c r="BT177" s="321"/>
      <c r="BU177" s="280">
        <f t="shared" si="9"/>
        <v>0</v>
      </c>
      <c r="BV177" s="322"/>
      <c r="BW177" s="320"/>
      <c r="BX177" s="320"/>
      <c r="BY177" s="320"/>
      <c r="BZ177" s="320"/>
      <c r="CA177" s="320"/>
      <c r="CB177" s="320"/>
      <c r="CC177" s="275">
        <f t="shared" si="10"/>
        <v>0</v>
      </c>
      <c r="CD177" s="98">
        <v>8.8000000000000007</v>
      </c>
      <c r="CE177" s="91">
        <v>14.62</v>
      </c>
      <c r="CF177" s="91">
        <v>13.65</v>
      </c>
      <c r="CG177" s="91">
        <v>8.5299999999999994</v>
      </c>
      <c r="CH177" s="266">
        <f t="shared" si="11"/>
        <v>96.931818181818159</v>
      </c>
      <c r="CI177" s="320"/>
      <c r="CJ177" s="280">
        <f t="shared" si="12"/>
        <v>101.11236666666666</v>
      </c>
      <c r="CK177" s="83">
        <v>7.04</v>
      </c>
      <c r="CL177" s="91">
        <v>10.61</v>
      </c>
      <c r="CM177" s="91">
        <v>9.4700000000000006</v>
      </c>
      <c r="CN177" s="91">
        <v>3.73</v>
      </c>
      <c r="CO177" s="256">
        <f t="shared" si="13"/>
        <v>52.98295454545454</v>
      </c>
      <c r="CP177" s="320"/>
      <c r="CQ177" s="256">
        <f t="shared" si="14"/>
        <v>36.746399999999994</v>
      </c>
      <c r="CR177" s="256" t="str">
        <f>IF(CO177&lt;'Look Ups'!$AC$4,"Yes","No")</f>
        <v>No</v>
      </c>
      <c r="CS177" s="293">
        <f>IF(CR177="Yes",MIN(150,('Look Ups'!$AC$4-PSCR)/('Look Ups'!$AC$4-'Look Ups'!$AC$3)*100),0)</f>
        <v>0</v>
      </c>
      <c r="CT177" s="83"/>
      <c r="CU177" s="91"/>
      <c r="CV177" s="91"/>
      <c r="CW177" s="91"/>
      <c r="CX177" s="256" t="str">
        <f t="shared" si="15"/>
        <v/>
      </c>
      <c r="CY177" s="293">
        <f>IF(PUSCR&lt;'Look Ups'!$AC$4,MIN(150,('Look Ups'!$AC$4-PUSCR)/('Look Ups'!$AC$4-'Look Ups'!$AC$3)*100),0)</f>
        <v>0</v>
      </c>
      <c r="CZ177" s="275">
        <f>IF(PUSCR&lt;'Look Ups'!$AC$4,USCRF*(USCRL1+USCRL2)/4+(USCRMG-USCRF/2)*(USCRL1+USCRL2)/3,0)</f>
        <v>0</v>
      </c>
      <c r="DA177" s="294">
        <f t="shared" si="16"/>
        <v>1</v>
      </c>
      <c r="DB177" s="256">
        <f t="shared" si="17"/>
        <v>38.176536000000006</v>
      </c>
      <c r="DC177" s="256">
        <f t="shared" si="18"/>
        <v>1</v>
      </c>
      <c r="DD177" s="256">
        <f t="shared" si="19"/>
        <v>12.427817999999998</v>
      </c>
      <c r="DE177" s="256">
        <f>IF(AZ177&gt;0,'Look Ups'!$S$3,0)</f>
        <v>1</v>
      </c>
      <c r="DF177" s="256">
        <f t="shared" si="20"/>
        <v>0</v>
      </c>
      <c r="DG177" s="256">
        <f t="shared" si="21"/>
        <v>0</v>
      </c>
      <c r="DH177" s="256">
        <f t="shared" si="22"/>
        <v>0</v>
      </c>
      <c r="DI177" s="280">
        <f t="shared" si="23"/>
        <v>0</v>
      </c>
      <c r="DJ177" s="295" t="str">
        <f t="shared" si="24"/>
        <v>valid</v>
      </c>
      <c r="DK177" s="266" t="str">
        <f t="shared" si="25"/>
        <v>valid</v>
      </c>
      <c r="DL177" s="267" t="str">
        <f t="shared" si="26"/>
        <v>MGScrSP</v>
      </c>
      <c r="DM177" s="294">
        <f t="shared" si="27"/>
        <v>50.604354000000001</v>
      </c>
      <c r="DN177" s="256">
        <f>IF(MSASP&gt;0,'Look Ups'!$AI$4*(ZVAL*MSASP-RSAG),0)</f>
        <v>26.605364599999998</v>
      </c>
      <c r="DO177" s="256">
        <f>IF(AND(MSASC&gt;0,(MSASC&gt;=0.36*RSAM)),('Look Ups'!$AI$3*(ZVAL*MSASC-RSAG)),(0))</f>
        <v>8.5115036999999987</v>
      </c>
      <c r="DP177" s="256">
        <f>IF(MSASP&gt;0,'Look Ups'!$AI$5*(ZVAL*MSASP-RSAG),0)</f>
        <v>24.831673626666667</v>
      </c>
      <c r="DQ177" s="256">
        <f>IF(MSASC&gt;0,'Look Ups'!$AI$6*(MSASC-RSAG),0)</f>
        <v>1.7023007399999999</v>
      </c>
      <c r="DR177" s="280">
        <f>'Look Ups'!$AI$7*MAX(IF(MSAUSC&gt;0,EUSC/100*(MSAUSC-RSAG),0),IF(CR177="Yes",ELSC/100*(MSASC-RSAG),0))</f>
        <v>0</v>
      </c>
      <c r="DS177" s="280">
        <f t="shared" si="28"/>
        <v>13.743552960000002</v>
      </c>
      <c r="DT177" s="296">
        <f t="shared" si="29"/>
        <v>77.13832836666667</v>
      </c>
      <c r="DU177" s="14"/>
    </row>
    <row r="178" spans="1:125" ht="15.6" customHeight="1" x14ac:dyDescent="0.3">
      <c r="A178" s="4"/>
      <c r="B178" s="365"/>
      <c r="C178" s="369" t="s">
        <v>659</v>
      </c>
      <c r="D178" s="370" t="s">
        <v>660</v>
      </c>
      <c r="E178" s="371" t="s">
        <v>661</v>
      </c>
      <c r="F178" s="252">
        <f t="shared" ca="1" si="0"/>
        <v>0.94299999999999995</v>
      </c>
      <c r="G178" s="252" t="str">
        <f ca="1">IF(OR(FLSCR="ERROR",FLSPI="ERROR"),"No",IF(TODAY()-'Look Ups'!$D$4*365&gt;I178,"WP Applied","Yes"))</f>
        <v>WP Applied</v>
      </c>
      <c r="H178" s="253" t="str">
        <f t="shared" si="1"/>
        <v>Main-Genoa-Screacher (Upwind)-Spinnaker</v>
      </c>
      <c r="I178" s="1">
        <v>41743</v>
      </c>
      <c r="J178" s="1">
        <v>41743</v>
      </c>
      <c r="K178" s="87" t="s">
        <v>366</v>
      </c>
      <c r="L178" s="87" t="s">
        <v>159</v>
      </c>
      <c r="M178" s="207"/>
      <c r="N178" s="88" t="s">
        <v>165</v>
      </c>
      <c r="O178" s="88"/>
      <c r="P178" s="89"/>
      <c r="Q178" s="90">
        <v>14.35</v>
      </c>
      <c r="R178" s="87"/>
      <c r="S178" s="256">
        <f t="shared" si="2"/>
        <v>0.35875000000000001</v>
      </c>
      <c r="T178" s="117">
        <v>0.05</v>
      </c>
      <c r="U178" s="117">
        <v>0.1</v>
      </c>
      <c r="V178" s="258">
        <f t="shared" si="3"/>
        <v>14.2</v>
      </c>
      <c r="W178" s="259">
        <f>IF(RL&gt;0,IF(RL&gt;'Look Ups'!Y$7,'Look Ups'!Y$8,('Look Ups'!Y$3*RL^3+'Look Ups'!Y$4*RL^2+'Look Ups'!Y$5*RL+'Look Ups'!Y$6)),0)</f>
        <v>0.3</v>
      </c>
      <c r="X178" s="92">
        <v>6164</v>
      </c>
      <c r="Y178" s="263">
        <f ca="1">IF(WDATE&lt;(TODAY()-'Look Ups'!$D$4*365),-WM*'Look Ups'!$D$5/100,0)</f>
        <v>-924.6</v>
      </c>
      <c r="Z178" s="103"/>
      <c r="AA178" s="109"/>
      <c r="AB178" s="109"/>
      <c r="AC178" s="265">
        <f>WCD+NC*'Look Ups'!$AF$3</f>
        <v>0</v>
      </c>
      <c r="AD178" s="265">
        <f ca="1">IF(RL&lt;'Look Ups'!AM$3,'Look Ups'!AM$4,IF(RL&gt;'Look Ups'!AM$5,'Look Ups'!AM$6,(RL-'Look Ups'!AM$3)/('Look Ups'!AM$5-'Look Ups'!AM$3)*('Look Ups'!AM$6-'Look Ups'!AM$4)+'Look Ups'!AM$4))/100*WS</f>
        <v>523.93999999999994</v>
      </c>
      <c r="AE178" s="269">
        <f t="shared" ca="1" si="4"/>
        <v>5239.3999999999996</v>
      </c>
      <c r="AF178" s="267">
        <f t="shared" ca="1" si="5"/>
        <v>5239.3999999999996</v>
      </c>
      <c r="AG178" s="94" t="s">
        <v>145</v>
      </c>
      <c r="AH178" s="95" t="s">
        <v>146</v>
      </c>
      <c r="AI178" s="96" t="s">
        <v>177</v>
      </c>
      <c r="AJ178" s="218"/>
      <c r="AK178" s="273">
        <f>IF(C178="",0,VLOOKUP(AG178,'Look Ups'!$F$3:$G$6,2,0)*VLOOKUP(AH178,'Look Ups'!$I$3:$J$5,2,0)*VLOOKUP(AI178,'Look Ups'!$L$3:$M$7,2,0)*IF(AJ178="",1,VLOOKUP(AJ178,'Look Ups'!$O$3:$P$4,2,0)))</f>
        <v>0.99</v>
      </c>
      <c r="AL178" s="83">
        <v>17.899999999999999</v>
      </c>
      <c r="AM178" s="91">
        <v>17.73</v>
      </c>
      <c r="AN178" s="91">
        <v>4.9850000000000003</v>
      </c>
      <c r="AO178" s="91">
        <v>1.99</v>
      </c>
      <c r="AP178" s="91">
        <v>0.52</v>
      </c>
      <c r="AQ178" s="91">
        <v>17.62</v>
      </c>
      <c r="AR178" s="91">
        <v>0.2</v>
      </c>
      <c r="AS178" s="91">
        <v>5.0999999999999996</v>
      </c>
      <c r="AT178" s="91">
        <v>5.5E-2</v>
      </c>
      <c r="AU178" s="91"/>
      <c r="AV178" s="91" t="s">
        <v>148</v>
      </c>
      <c r="AW178" s="97"/>
      <c r="AX178" s="256">
        <f t="shared" si="6"/>
        <v>17.675000000000001</v>
      </c>
      <c r="AY178" s="256">
        <f t="shared" si="7"/>
        <v>0</v>
      </c>
      <c r="AZ178" s="275">
        <f>IF(C178="",0,(0.5*(_ML1*LPM)+0.5*(_ML1*HB)+0.66*(P*PR)+0.66*(_ML2*RDM)+0.66*(E*ER))*VLOOKUP(BATT,'Look Ups'!$U$3:$V$4,2,0))</f>
        <v>71.022155999999995</v>
      </c>
      <c r="BA178" s="98"/>
      <c r="BB178" s="99"/>
      <c r="BC178" s="83">
        <v>16.399999999999999</v>
      </c>
      <c r="BD178" s="91">
        <v>5.74</v>
      </c>
      <c r="BE178" s="91">
        <v>6.48</v>
      </c>
      <c r="BF178" s="91">
        <v>0.23</v>
      </c>
      <c r="BG178" s="91">
        <v>14.48</v>
      </c>
      <c r="BH178" s="91">
        <v>14.45</v>
      </c>
      <c r="BI178" s="91">
        <v>0.08</v>
      </c>
      <c r="BJ178" s="91">
        <v>9.5000000000000001E-2</v>
      </c>
      <c r="BK178" s="91">
        <v>0</v>
      </c>
      <c r="BL178" s="97"/>
      <c r="BM178" s="275">
        <f t="shared" si="8"/>
        <v>49.536878999999999</v>
      </c>
      <c r="BN178" s="319"/>
      <c r="BO178" s="320"/>
      <c r="BP178" s="321"/>
      <c r="BQ178" s="321"/>
      <c r="BR178" s="320"/>
      <c r="BS178" s="321"/>
      <c r="BT178" s="321"/>
      <c r="BU178" s="280">
        <f t="shared" si="9"/>
        <v>0</v>
      </c>
      <c r="BV178" s="322"/>
      <c r="BW178" s="320"/>
      <c r="BX178" s="320"/>
      <c r="BY178" s="320"/>
      <c r="BZ178" s="320"/>
      <c r="CA178" s="320"/>
      <c r="CB178" s="320"/>
      <c r="CC178" s="275">
        <f t="shared" si="10"/>
        <v>0</v>
      </c>
      <c r="CD178" s="98">
        <v>10.79</v>
      </c>
      <c r="CE178" s="91">
        <v>19.43</v>
      </c>
      <c r="CF178" s="91">
        <v>18.315000000000001</v>
      </c>
      <c r="CG178" s="91">
        <v>9.8699999999999992</v>
      </c>
      <c r="CH178" s="266">
        <f t="shared" si="11"/>
        <v>91.473586654309543</v>
      </c>
      <c r="CI178" s="320"/>
      <c r="CJ178" s="280">
        <f t="shared" si="12"/>
        <v>158.12009583333332</v>
      </c>
      <c r="CK178" s="83">
        <v>8</v>
      </c>
      <c r="CL178" s="91">
        <v>17.670000000000002</v>
      </c>
      <c r="CM178" s="91">
        <v>15.79</v>
      </c>
      <c r="CN178" s="91">
        <v>4.1100000000000003</v>
      </c>
      <c r="CO178" s="256">
        <f t="shared" si="13"/>
        <v>51.375000000000007</v>
      </c>
      <c r="CP178" s="320"/>
      <c r="CQ178" s="256">
        <f t="shared" si="14"/>
        <v>68.146866666666668</v>
      </c>
      <c r="CR178" s="256" t="str">
        <f>IF(CO178&lt;'Look Ups'!$AC$4,"Yes","No")</f>
        <v>Yes</v>
      </c>
      <c r="CS178" s="293">
        <f>IF(CR178="Yes",MIN(150,('Look Ups'!$AC$4-PSCR)/('Look Ups'!$AC$4-'Look Ups'!$AC$3)*100),0)</f>
        <v>12.499999999999858</v>
      </c>
      <c r="CT178" s="83"/>
      <c r="CU178" s="91"/>
      <c r="CV178" s="91"/>
      <c r="CW178" s="91"/>
      <c r="CX178" s="256" t="str">
        <f t="shared" si="15"/>
        <v/>
      </c>
      <c r="CY178" s="293">
        <f>IF(PUSCR&lt;'Look Ups'!$AC$4,MIN(150,('Look Ups'!$AC$4-PUSCR)/('Look Ups'!$AC$4-'Look Ups'!$AC$3)*100),0)</f>
        <v>0</v>
      </c>
      <c r="CZ178" s="275">
        <f>IF(PUSCR&lt;'Look Ups'!$AC$4,USCRF*(USCRL1+USCRL2)/4+(USCRMG-USCRF/2)*(USCRL1+USCRL2)/3,0)</f>
        <v>0</v>
      </c>
      <c r="DA178" s="294">
        <f t="shared" si="16"/>
        <v>1</v>
      </c>
      <c r="DB178" s="256">
        <f t="shared" si="17"/>
        <v>71.022155999999995</v>
      </c>
      <c r="DC178" s="256">
        <f t="shared" si="18"/>
        <v>1</v>
      </c>
      <c r="DD178" s="256">
        <f t="shared" si="19"/>
        <v>49.536878999999999</v>
      </c>
      <c r="DE178" s="256">
        <f>IF(AZ178&gt;0,'Look Ups'!$S$3,0)</f>
        <v>1</v>
      </c>
      <c r="DF178" s="256">
        <f t="shared" si="20"/>
        <v>0</v>
      </c>
      <c r="DG178" s="256">
        <f t="shared" si="21"/>
        <v>0</v>
      </c>
      <c r="DH178" s="256">
        <f t="shared" si="22"/>
        <v>0</v>
      </c>
      <c r="DI178" s="280">
        <f t="shared" si="23"/>
        <v>0</v>
      </c>
      <c r="DJ178" s="295" t="str">
        <f t="shared" si="24"/>
        <v>valid</v>
      </c>
      <c r="DK178" s="266" t="str">
        <f t="shared" si="25"/>
        <v>valid</v>
      </c>
      <c r="DL178" s="267" t="str">
        <f t="shared" si="26"/>
        <v>MGScrSP</v>
      </c>
      <c r="DM178" s="294">
        <f t="shared" si="27"/>
        <v>120.55903499999999</v>
      </c>
      <c r="DN178" s="256">
        <f>IF(MSASP&gt;0,'Look Ups'!$AI$4*(ZVAL*MSASP-RSAG),0)</f>
        <v>32.574965049999996</v>
      </c>
      <c r="DO178" s="256">
        <f>IF(AND(MSASC&gt;0,(MSASC&gt;=0.36*RSAM)),('Look Ups'!$AI$3*(ZVAL*MSASC-RSAG)),(0))</f>
        <v>6.5134956833333337</v>
      </c>
      <c r="DP178" s="256">
        <f>IF(MSASP&gt;0,'Look Ups'!$AI$5*(ZVAL*MSASP-RSAG),0)</f>
        <v>30.403300713333334</v>
      </c>
      <c r="DQ178" s="256">
        <f>IF(MSASC&gt;0,'Look Ups'!$AI$6*(MSASC-RSAG),0)</f>
        <v>1.3026991366666669</v>
      </c>
      <c r="DR178" s="280">
        <f>'Look Ups'!$AI$7*MAX(IF(MSAUSC&gt;0,EUSC/100*(MSAUSC-RSAG),0),IF(CR178="Yes",ELSC/100*(MSASC-RSAG),0))</f>
        <v>0.58156211458332685</v>
      </c>
      <c r="DS178" s="280">
        <f t="shared" si="28"/>
        <v>25.567976159999997</v>
      </c>
      <c r="DT178" s="296">
        <f t="shared" si="29"/>
        <v>152.84659696458331</v>
      </c>
      <c r="DU178" s="14"/>
    </row>
    <row r="179" spans="1:125" ht="15.6" customHeight="1" x14ac:dyDescent="0.3">
      <c r="A179" s="4"/>
      <c r="B179" s="365"/>
      <c r="C179" s="369" t="s">
        <v>662</v>
      </c>
      <c r="D179" s="370"/>
      <c r="E179" s="371" t="s">
        <v>663</v>
      </c>
      <c r="F179" s="252">
        <f t="shared" ca="1" si="0"/>
        <v>0.77400000000000002</v>
      </c>
      <c r="G179" s="252" t="str">
        <f ca="1">IF(OR(FLSCR="ERROR",FLSPI="ERROR"),"No",IF(TODAY()-'Look Ups'!$D$4*365&gt;I179,"WP Applied","Yes"))</f>
        <v>WP Applied</v>
      </c>
      <c r="H179" s="253" t="str">
        <f t="shared" si="1"/>
        <v>Main-Genoa-Spinnaker</v>
      </c>
      <c r="I179" s="1">
        <v>37622</v>
      </c>
      <c r="J179" s="1"/>
      <c r="K179" s="87" t="s">
        <v>664</v>
      </c>
      <c r="L179" s="87" t="s">
        <v>664</v>
      </c>
      <c r="M179" s="207"/>
      <c r="N179" s="88" t="s">
        <v>165</v>
      </c>
      <c r="O179" s="88"/>
      <c r="P179" s="89"/>
      <c r="Q179" s="90">
        <v>6.9</v>
      </c>
      <c r="R179" s="87"/>
      <c r="S179" s="256">
        <f t="shared" si="2"/>
        <v>0.17250000000000001</v>
      </c>
      <c r="T179" s="117">
        <v>0.21</v>
      </c>
      <c r="U179" s="117">
        <v>0</v>
      </c>
      <c r="V179" s="258">
        <f t="shared" si="3"/>
        <v>6.69</v>
      </c>
      <c r="W179" s="259">
        <f>IF(RL&gt;0,IF(RL&gt;'Look Ups'!Y$7,'Look Ups'!Y$8,('Look Ups'!Y$3*RL^3+'Look Ups'!Y$4*RL^2+'Look Ups'!Y$5*RL+'Look Ups'!Y$6)),0)</f>
        <v>0.28817726419700007</v>
      </c>
      <c r="X179" s="92">
        <v>800</v>
      </c>
      <c r="Y179" s="263">
        <f ca="1">IF(WDATE&lt;(TODAY()-'Look Ups'!$D$4*365),-WM*'Look Ups'!$D$5/100,0)</f>
        <v>-120</v>
      </c>
      <c r="Z179" s="103"/>
      <c r="AA179" s="109"/>
      <c r="AB179" s="109"/>
      <c r="AC179" s="265">
        <f>WCD+NC*'Look Ups'!$AF$3</f>
        <v>0</v>
      </c>
      <c r="AD179" s="265">
        <f ca="1">IF(RL&lt;'Look Ups'!AM$3,'Look Ups'!AM$4,IF(RL&gt;'Look Ups'!AM$5,'Look Ups'!AM$6,(RL-'Look Ups'!AM$3)/('Look Ups'!AM$5-'Look Ups'!AM$3)*('Look Ups'!AM$6-'Look Ups'!AM$4)+'Look Ups'!AM$4))/100*WS</f>
        <v>204</v>
      </c>
      <c r="AE179" s="269">
        <f t="shared" ca="1" si="4"/>
        <v>680</v>
      </c>
      <c r="AF179" s="267">
        <f t="shared" ca="1" si="5"/>
        <v>680</v>
      </c>
      <c r="AG179" s="94" t="s">
        <v>145</v>
      </c>
      <c r="AH179" s="95" t="s">
        <v>146</v>
      </c>
      <c r="AI179" s="96" t="s">
        <v>147</v>
      </c>
      <c r="AJ179" s="218"/>
      <c r="AK179" s="273">
        <f>IF(C179="",0,VLOOKUP(AG179,'Look Ups'!$F$3:$G$6,2,0)*VLOOKUP(AH179,'Look Ups'!$I$3:$J$5,2,0)*VLOOKUP(AI179,'Look Ups'!$L$3:$M$7,2,0)*IF(AJ179="",1,VLOOKUP(AJ179,'Look Ups'!$O$3:$P$4,2,0)))</f>
        <v>1</v>
      </c>
      <c r="AL179" s="83">
        <v>8.49</v>
      </c>
      <c r="AM179" s="91">
        <v>7.8</v>
      </c>
      <c r="AN179" s="91">
        <v>2.2800000000000002</v>
      </c>
      <c r="AO179" s="91">
        <v>0.60000000000000009</v>
      </c>
      <c r="AP179" s="91">
        <v>0.60000000000000009</v>
      </c>
      <c r="AQ179" s="91">
        <v>8.58</v>
      </c>
      <c r="AR179" s="91">
        <v>0</v>
      </c>
      <c r="AS179" s="91">
        <v>2.34</v>
      </c>
      <c r="AT179" s="91">
        <v>0</v>
      </c>
      <c r="AU179" s="91">
        <v>0.4</v>
      </c>
      <c r="AV179" s="91" t="s">
        <v>148</v>
      </c>
      <c r="AW179" s="97">
        <v>0</v>
      </c>
      <c r="AX179" s="256">
        <f t="shared" si="6"/>
        <v>8.58</v>
      </c>
      <c r="AY179" s="256">
        <f t="shared" si="7"/>
        <v>1.2870000000000001</v>
      </c>
      <c r="AZ179" s="275">
        <f>IF(C179="",0,(0.5*(_ML1*LPM)+0.5*(_ML1*HB)+0.66*(P*PR)+0.66*(_ML2*RDM)+0.66*(E*ER))*VLOOKUP(BATT,'Look Ups'!$U$3:$V$4,2,0))</f>
        <v>15.314400000000003</v>
      </c>
      <c r="BA179" s="98"/>
      <c r="BB179" s="99"/>
      <c r="BC179" s="83">
        <v>7.67</v>
      </c>
      <c r="BD179" s="91">
        <v>2.66</v>
      </c>
      <c r="BE179" s="91">
        <v>3</v>
      </c>
      <c r="BF179" s="91">
        <v>0.05</v>
      </c>
      <c r="BG179" s="91">
        <v>6.78</v>
      </c>
      <c r="BH179" s="91"/>
      <c r="BI179" s="91"/>
      <c r="BJ179" s="91">
        <v>-0.16</v>
      </c>
      <c r="BK179" s="91">
        <v>0</v>
      </c>
      <c r="BL179" s="97">
        <v>0</v>
      </c>
      <c r="BM179" s="275">
        <f t="shared" si="8"/>
        <v>9.5841320000000003</v>
      </c>
      <c r="BN179" s="319"/>
      <c r="BO179" s="320"/>
      <c r="BP179" s="321"/>
      <c r="BQ179" s="321"/>
      <c r="BR179" s="320"/>
      <c r="BS179" s="321"/>
      <c r="BT179" s="321"/>
      <c r="BU179" s="280">
        <f t="shared" si="9"/>
        <v>0</v>
      </c>
      <c r="BV179" s="322"/>
      <c r="BW179" s="320"/>
      <c r="BX179" s="320"/>
      <c r="BY179" s="320"/>
      <c r="BZ179" s="320"/>
      <c r="CA179" s="320"/>
      <c r="CB179" s="320"/>
      <c r="CC179" s="275">
        <f t="shared" si="10"/>
        <v>0</v>
      </c>
      <c r="CD179" s="98">
        <v>5.43</v>
      </c>
      <c r="CE179" s="91">
        <v>8.5</v>
      </c>
      <c r="CF179" s="91">
        <v>6.58</v>
      </c>
      <c r="CG179" s="91">
        <v>4.5199999999999996</v>
      </c>
      <c r="CH179" s="266">
        <f t="shared" si="11"/>
        <v>83.241252302025785</v>
      </c>
      <c r="CI179" s="320"/>
      <c r="CJ179" s="280">
        <f t="shared" si="12"/>
        <v>29.544233333333331</v>
      </c>
      <c r="CK179" s="83"/>
      <c r="CL179" s="91"/>
      <c r="CM179" s="91"/>
      <c r="CN179" s="91"/>
      <c r="CO179" s="256" t="str">
        <f t="shared" si="13"/>
        <v/>
      </c>
      <c r="CP179" s="320"/>
      <c r="CQ179" s="256">
        <f t="shared" si="14"/>
        <v>0</v>
      </c>
      <c r="CR179" s="256" t="str">
        <f>IF(CO179&lt;'Look Ups'!$AC$4,"Yes","No")</f>
        <v>No</v>
      </c>
      <c r="CS179" s="293">
        <f>IF(CR179="Yes",MIN(150,('Look Ups'!$AC$4-PSCR)/('Look Ups'!$AC$4-'Look Ups'!$AC$3)*100),0)</f>
        <v>0</v>
      </c>
      <c r="CT179" s="83"/>
      <c r="CU179" s="91"/>
      <c r="CV179" s="91"/>
      <c r="CW179" s="91"/>
      <c r="CX179" s="256" t="str">
        <f t="shared" si="15"/>
        <v/>
      </c>
      <c r="CY179" s="293">
        <f>IF(PUSCR&lt;'Look Ups'!$AC$4,MIN(150,('Look Ups'!$AC$4-PUSCR)/('Look Ups'!$AC$4-'Look Ups'!$AC$3)*100),0)</f>
        <v>0</v>
      </c>
      <c r="CZ179" s="275">
        <f>IF(PUSCR&lt;'Look Ups'!$AC$4,USCRF*(USCRL1+USCRL2)/4+(USCRMG-USCRF/2)*(USCRL1+USCRL2)/3,0)</f>
        <v>0</v>
      </c>
      <c r="DA179" s="294">
        <f t="shared" si="16"/>
        <v>1</v>
      </c>
      <c r="DB179" s="256">
        <f t="shared" si="17"/>
        <v>16.601400000000002</v>
      </c>
      <c r="DC179" s="256">
        <f t="shared" si="18"/>
        <v>1</v>
      </c>
      <c r="DD179" s="256">
        <f t="shared" si="19"/>
        <v>9.5841320000000003</v>
      </c>
      <c r="DE179" s="256">
        <f>IF(AZ179&gt;0,'Look Ups'!$S$3,0)</f>
        <v>1</v>
      </c>
      <c r="DF179" s="256">
        <f t="shared" si="20"/>
        <v>0</v>
      </c>
      <c r="DG179" s="256">
        <f t="shared" si="21"/>
        <v>0</v>
      </c>
      <c r="DH179" s="256">
        <f t="shared" si="22"/>
        <v>0</v>
      </c>
      <c r="DI179" s="280">
        <f t="shared" si="23"/>
        <v>0</v>
      </c>
      <c r="DJ179" s="295" t="str">
        <f t="shared" si="24"/>
        <v>-</v>
      </c>
      <c r="DK179" s="266" t="str">
        <f t="shared" si="25"/>
        <v>valid</v>
      </c>
      <c r="DL179" s="267" t="str">
        <f t="shared" si="26"/>
        <v>MGSP</v>
      </c>
      <c r="DM179" s="294">
        <f t="shared" si="27"/>
        <v>26.185532000000002</v>
      </c>
      <c r="DN179" s="256">
        <f>IF(MSASP&gt;0,'Look Ups'!$AI$4*(ZVAL*MSASP-RSAG),0)</f>
        <v>5.9880303999999986</v>
      </c>
      <c r="DO179" s="256">
        <f>IF(AND(MSASC&gt;0,(MSASC&gt;=0.36*RSAM)),('Look Ups'!$AI$3*(ZVAL*MSASC-RSAG)),(0))</f>
        <v>0</v>
      </c>
      <c r="DP179" s="256">
        <f>IF(MSASP&gt;0,'Look Ups'!$AI$5*(ZVAL*MSASP-RSAG),0)</f>
        <v>5.5888283733333335</v>
      </c>
      <c r="DQ179" s="256">
        <f>IF(MSASC&gt;0,'Look Ups'!$AI$6*(MSASC-RSAG),0)</f>
        <v>0</v>
      </c>
      <c r="DR179" s="280">
        <f>'Look Ups'!$AI$7*MAX(IF(MSAUSC&gt;0,EUSC/100*(MSAUSC-RSAG),0),IF(CR179="Yes",ELSC/100*(MSASC-RSAG),0))</f>
        <v>0</v>
      </c>
      <c r="DS179" s="280">
        <f t="shared" si="28"/>
        <v>5.9765040000000003</v>
      </c>
      <c r="DT179" s="296">
        <f t="shared" si="29"/>
        <v>32.173562400000002</v>
      </c>
      <c r="DU179" s="14"/>
    </row>
    <row r="180" spans="1:125" ht="15.6" customHeight="1" x14ac:dyDescent="0.3">
      <c r="A180" s="4"/>
      <c r="B180" s="365"/>
      <c r="C180" s="369" t="s">
        <v>665</v>
      </c>
      <c r="D180" s="370" t="s">
        <v>330</v>
      </c>
      <c r="E180" s="371" t="s">
        <v>666</v>
      </c>
      <c r="F180" s="252">
        <f t="shared" ca="1" si="0"/>
        <v>0.90300000000000002</v>
      </c>
      <c r="G180" s="252" t="str">
        <f ca="1">IF(OR(FLSCR="ERROR",FLSPI="ERROR"),"No",IF(TODAY()-'Look Ups'!$D$4*365&gt;I180,"WP Applied","Yes"))</f>
        <v>WP Applied</v>
      </c>
      <c r="H180" s="253" t="str">
        <f t="shared" si="1"/>
        <v>Main-Genoa-Spinnaker</v>
      </c>
      <c r="I180" s="1">
        <v>38741</v>
      </c>
      <c r="J180" s="1"/>
      <c r="K180" s="87"/>
      <c r="L180" s="87" t="s">
        <v>658</v>
      </c>
      <c r="M180" s="207"/>
      <c r="N180" s="88" t="s">
        <v>143</v>
      </c>
      <c r="O180" s="88" t="s">
        <v>154</v>
      </c>
      <c r="P180" s="89"/>
      <c r="Q180" s="90">
        <v>9.4600000000000009</v>
      </c>
      <c r="R180" s="87"/>
      <c r="S180" s="256">
        <f t="shared" si="2"/>
        <v>0.23650000000000004</v>
      </c>
      <c r="T180" s="117">
        <v>0.05</v>
      </c>
      <c r="U180" s="117">
        <v>0</v>
      </c>
      <c r="V180" s="258">
        <f t="shared" si="3"/>
        <v>9.41</v>
      </c>
      <c r="W180" s="259">
        <f>IF(RL&gt;0,IF(RL&gt;'Look Ups'!Y$7,'Look Ups'!Y$8,('Look Ups'!Y$3*RL^3+'Look Ups'!Y$4*RL^2+'Look Ups'!Y$5*RL+'Look Ups'!Y$6)),0)</f>
        <v>0.29752450149300003</v>
      </c>
      <c r="X180" s="92">
        <v>2080</v>
      </c>
      <c r="Y180" s="263">
        <f ca="1">IF(WDATE&lt;(TODAY()-'Look Ups'!$D$4*365),-WM*'Look Ups'!$D$5/100,0)</f>
        <v>-312</v>
      </c>
      <c r="Z180" s="103"/>
      <c r="AA180" s="109"/>
      <c r="AB180" s="109"/>
      <c r="AC180" s="265">
        <f>WCD+NC*'Look Ups'!$AF$3</f>
        <v>0</v>
      </c>
      <c r="AD180" s="265">
        <f ca="1">IF(RL&lt;'Look Ups'!AM$3,'Look Ups'!AM$4,IF(RL&gt;'Look Ups'!AM$5,'Look Ups'!AM$6,(RL-'Look Ups'!AM$3)/('Look Ups'!AM$5-'Look Ups'!AM$3)*('Look Ups'!AM$6-'Look Ups'!AM$4)+'Look Ups'!AM$4))/100*WS</f>
        <v>356.17163636363637</v>
      </c>
      <c r="AE180" s="269">
        <f t="shared" ca="1" si="4"/>
        <v>1768</v>
      </c>
      <c r="AF180" s="267">
        <f t="shared" ca="1" si="5"/>
        <v>1768</v>
      </c>
      <c r="AG180" s="94" t="s">
        <v>145</v>
      </c>
      <c r="AH180" s="95" t="s">
        <v>146</v>
      </c>
      <c r="AI180" s="96" t="s">
        <v>147</v>
      </c>
      <c r="AJ180" s="218"/>
      <c r="AK180" s="273">
        <f>IF(C180="",0,VLOOKUP(AG180,'Look Ups'!$F$3:$G$6,2,0)*VLOOKUP(AH180,'Look Ups'!$I$3:$J$5,2,0)*VLOOKUP(AI180,'Look Ups'!$L$3:$M$7,2,0)*IF(AJ180="",1,VLOOKUP(AJ180,'Look Ups'!$O$3:$P$4,2,0)))</f>
        <v>1</v>
      </c>
      <c r="AL180" s="83">
        <v>11.88</v>
      </c>
      <c r="AM180" s="91">
        <v>11.63</v>
      </c>
      <c r="AN180" s="91">
        <v>4.28</v>
      </c>
      <c r="AO180" s="91">
        <v>1</v>
      </c>
      <c r="AP180" s="91">
        <v>0.69</v>
      </c>
      <c r="AQ180" s="91">
        <v>11.28</v>
      </c>
      <c r="AR180" s="91">
        <v>0.12</v>
      </c>
      <c r="AS180" s="91">
        <v>4.3</v>
      </c>
      <c r="AT180" s="91">
        <v>0.03</v>
      </c>
      <c r="AU180" s="91"/>
      <c r="AV180" s="91" t="s">
        <v>148</v>
      </c>
      <c r="AW180" s="97"/>
      <c r="AX180" s="256">
        <f t="shared" si="6"/>
        <v>11.309999999999999</v>
      </c>
      <c r="AY180" s="256">
        <f t="shared" si="7"/>
        <v>0</v>
      </c>
      <c r="AZ180" s="275">
        <f>IF(C180="",0,(0.5*(_ML1*LPM)+0.5*(_ML1*HB)+0.66*(P*PR)+0.66*(_ML2*RDM)+0.66*(E*ER))*VLOOKUP(BATT,'Look Ups'!$U$3:$V$4,2,0))</f>
        <v>37.63801800000001</v>
      </c>
      <c r="BA180" s="98"/>
      <c r="BB180" s="99"/>
      <c r="BC180" s="83">
        <v>10.45</v>
      </c>
      <c r="BD180" s="91">
        <v>3.24</v>
      </c>
      <c r="BE180" s="91">
        <v>3.7</v>
      </c>
      <c r="BF180" s="91">
        <v>0.1</v>
      </c>
      <c r="BG180" s="91">
        <v>9.5500000000000007</v>
      </c>
      <c r="BH180" s="91"/>
      <c r="BI180" s="91"/>
      <c r="BJ180" s="91">
        <v>-0.09</v>
      </c>
      <c r="BK180" s="91">
        <v>-0.2</v>
      </c>
      <c r="BL180" s="97" t="s">
        <v>446</v>
      </c>
      <c r="BM180" s="275">
        <f t="shared" si="8"/>
        <v>15.226529999999997</v>
      </c>
      <c r="BN180" s="319"/>
      <c r="BO180" s="320"/>
      <c r="BP180" s="321"/>
      <c r="BQ180" s="321"/>
      <c r="BR180" s="320"/>
      <c r="BS180" s="321"/>
      <c r="BT180" s="321"/>
      <c r="BU180" s="280">
        <f t="shared" si="9"/>
        <v>0</v>
      </c>
      <c r="BV180" s="322"/>
      <c r="BW180" s="320"/>
      <c r="BX180" s="320"/>
      <c r="BY180" s="320"/>
      <c r="BZ180" s="320"/>
      <c r="CA180" s="320"/>
      <c r="CB180" s="320"/>
      <c r="CC180" s="275">
        <f t="shared" si="10"/>
        <v>0</v>
      </c>
      <c r="CD180" s="98">
        <v>8.5</v>
      </c>
      <c r="CE180" s="91">
        <v>13.9</v>
      </c>
      <c r="CF180" s="91">
        <v>12.64</v>
      </c>
      <c r="CG180" s="91">
        <v>8.4</v>
      </c>
      <c r="CH180" s="266">
        <f t="shared" si="11"/>
        <v>98.82352941176471</v>
      </c>
      <c r="CI180" s="320"/>
      <c r="CJ180" s="280">
        <f t="shared" si="12"/>
        <v>93.111166666666662</v>
      </c>
      <c r="CK180" s="83"/>
      <c r="CL180" s="91"/>
      <c r="CM180" s="91"/>
      <c r="CN180" s="91"/>
      <c r="CO180" s="256" t="str">
        <f t="shared" si="13"/>
        <v/>
      </c>
      <c r="CP180" s="320"/>
      <c r="CQ180" s="256">
        <f t="shared" si="14"/>
        <v>0</v>
      </c>
      <c r="CR180" s="256" t="str">
        <f>IF(CO180&lt;'Look Ups'!$AC$4,"Yes","No")</f>
        <v>No</v>
      </c>
      <c r="CS180" s="293">
        <f>IF(CR180="Yes",MIN(150,('Look Ups'!$AC$4-PSCR)/('Look Ups'!$AC$4-'Look Ups'!$AC$3)*100),0)</f>
        <v>0</v>
      </c>
      <c r="CT180" s="83"/>
      <c r="CU180" s="91"/>
      <c r="CV180" s="91"/>
      <c r="CW180" s="91"/>
      <c r="CX180" s="256" t="str">
        <f t="shared" si="15"/>
        <v/>
      </c>
      <c r="CY180" s="293">
        <f>IF(PUSCR&lt;'Look Ups'!$AC$4,MIN(150,('Look Ups'!$AC$4-PUSCR)/('Look Ups'!$AC$4-'Look Ups'!$AC$3)*100),0)</f>
        <v>0</v>
      </c>
      <c r="CZ180" s="275">
        <f>IF(PUSCR&lt;'Look Ups'!$AC$4,USCRF*(USCRL1+USCRL2)/4+(USCRMG-USCRF/2)*(USCRL1+USCRL2)/3,0)</f>
        <v>0</v>
      </c>
      <c r="DA180" s="294">
        <f t="shared" si="16"/>
        <v>1</v>
      </c>
      <c r="DB180" s="256">
        <f t="shared" si="17"/>
        <v>37.63801800000001</v>
      </c>
      <c r="DC180" s="256">
        <f t="shared" si="18"/>
        <v>1</v>
      </c>
      <c r="DD180" s="256">
        <f t="shared" si="19"/>
        <v>15.226529999999997</v>
      </c>
      <c r="DE180" s="256">
        <f>IF(AZ180&gt;0,'Look Ups'!$S$3,0)</f>
        <v>1</v>
      </c>
      <c r="DF180" s="256">
        <f t="shared" si="20"/>
        <v>0</v>
      </c>
      <c r="DG180" s="256">
        <f t="shared" si="21"/>
        <v>0</v>
      </c>
      <c r="DH180" s="256">
        <f t="shared" si="22"/>
        <v>0</v>
      </c>
      <c r="DI180" s="280">
        <f t="shared" si="23"/>
        <v>0</v>
      </c>
      <c r="DJ180" s="295" t="str">
        <f t="shared" si="24"/>
        <v>-</v>
      </c>
      <c r="DK180" s="266" t="str">
        <f t="shared" si="25"/>
        <v>valid</v>
      </c>
      <c r="DL180" s="267" t="str">
        <f t="shared" si="26"/>
        <v>MGSP</v>
      </c>
      <c r="DM180" s="294">
        <f t="shared" si="27"/>
        <v>52.864548000000006</v>
      </c>
      <c r="DN180" s="256">
        <f>IF(MSASP&gt;0,'Look Ups'!$AI$4*(ZVAL*MSASP-RSAG),0)</f>
        <v>23.365390999999999</v>
      </c>
      <c r="DO180" s="256">
        <f>IF(AND(MSASC&gt;0,(MSASC&gt;=0.36*RSAM)),('Look Ups'!$AI$3*(ZVAL*MSASC-RSAG)),(0))</f>
        <v>0</v>
      </c>
      <c r="DP180" s="256">
        <f>IF(MSASP&gt;0,'Look Ups'!$AI$5*(ZVAL*MSASP-RSAG),0)</f>
        <v>21.807698266666669</v>
      </c>
      <c r="DQ180" s="256">
        <f>IF(MSASC&gt;0,'Look Ups'!$AI$6*(MSASC-RSAG),0)</f>
        <v>0</v>
      </c>
      <c r="DR180" s="280">
        <f>'Look Ups'!$AI$7*MAX(IF(MSAUSC&gt;0,EUSC/100*(MSAUSC-RSAG),0),IF(CR180="Yes",ELSC/100*(MSASC-RSAG),0))</f>
        <v>0</v>
      </c>
      <c r="DS180" s="280">
        <f t="shared" si="28"/>
        <v>13.549686480000004</v>
      </c>
      <c r="DT180" s="296">
        <f t="shared" si="29"/>
        <v>76.229939000000002</v>
      </c>
      <c r="DU180" s="14"/>
    </row>
    <row r="181" spans="1:125" ht="15.6" customHeight="1" x14ac:dyDescent="0.3">
      <c r="A181" s="4"/>
      <c r="B181" s="365"/>
      <c r="C181" s="369" t="s">
        <v>667</v>
      </c>
      <c r="D181" s="370"/>
      <c r="E181" s="371" t="s">
        <v>668</v>
      </c>
      <c r="F181" s="252">
        <f t="shared" ca="1" si="0"/>
        <v>0.79100000000000004</v>
      </c>
      <c r="G181" s="252" t="str">
        <f ca="1">IF(OR(FLSCR="ERROR",FLSPI="ERROR"),"No",IF(TODAY()-'Look Ups'!$D$4*365&gt;I181,"WP Applied","Yes"))</f>
        <v>WP Applied</v>
      </c>
      <c r="H181" s="253" t="str">
        <f t="shared" si="1"/>
        <v>Main-Genoa-Spinnaker</v>
      </c>
      <c r="I181" s="1">
        <v>37988</v>
      </c>
      <c r="J181" s="1"/>
      <c r="K181" s="87" t="s">
        <v>664</v>
      </c>
      <c r="L181" s="87" t="s">
        <v>664</v>
      </c>
      <c r="M181" s="207"/>
      <c r="N181" s="88" t="s">
        <v>165</v>
      </c>
      <c r="O181" s="88"/>
      <c r="P181" s="89"/>
      <c r="Q181" s="90">
        <v>13.6</v>
      </c>
      <c r="R181" s="87"/>
      <c r="S181" s="256">
        <f t="shared" si="2"/>
        <v>0.34</v>
      </c>
      <c r="T181" s="117">
        <v>0.21</v>
      </c>
      <c r="U181" s="117">
        <v>0</v>
      </c>
      <c r="V181" s="258">
        <f t="shared" si="3"/>
        <v>13.389999999999999</v>
      </c>
      <c r="W181" s="259">
        <f>IF(RL&gt;0,IF(RL&gt;'Look Ups'!Y$7,'Look Ups'!Y$8,('Look Ups'!Y$3*RL^3+'Look Ups'!Y$4*RL^2+'Look Ups'!Y$5*RL+'Look Ups'!Y$6)),0)</f>
        <v>0.3</v>
      </c>
      <c r="X181" s="92">
        <v>7440</v>
      </c>
      <c r="Y181" s="263">
        <f ca="1">IF(WDATE&lt;(TODAY()-'Look Ups'!$D$4*365),-WM*'Look Ups'!$D$5/100,0)</f>
        <v>-1116</v>
      </c>
      <c r="Z181" s="103"/>
      <c r="AA181" s="109"/>
      <c r="AB181" s="109"/>
      <c r="AC181" s="265">
        <f>WCD+NC*'Look Ups'!$AF$3</f>
        <v>0</v>
      </c>
      <c r="AD181" s="265">
        <f ca="1">IF(RL&lt;'Look Ups'!AM$3,'Look Ups'!AM$4,IF(RL&gt;'Look Ups'!AM$5,'Look Ups'!AM$6,(RL-'Look Ups'!AM$3)/('Look Ups'!AM$5-'Look Ups'!AM$3)*('Look Ups'!AM$6-'Look Ups'!AM$4)+'Look Ups'!AM$4))/100*WS</f>
        <v>632.40000000000009</v>
      </c>
      <c r="AE181" s="269">
        <f t="shared" ca="1" si="4"/>
        <v>6324</v>
      </c>
      <c r="AF181" s="267">
        <f t="shared" ca="1" si="5"/>
        <v>6324</v>
      </c>
      <c r="AG181" s="94" t="s">
        <v>145</v>
      </c>
      <c r="AH181" s="95" t="s">
        <v>146</v>
      </c>
      <c r="AI181" s="96" t="s">
        <v>147</v>
      </c>
      <c r="AJ181" s="218"/>
      <c r="AK181" s="273">
        <f>IF(C181="",0,VLOOKUP(AG181,'Look Ups'!$F$3:$G$6,2,0)*VLOOKUP(AH181,'Look Ups'!$I$3:$J$5,2,0)*VLOOKUP(AI181,'Look Ups'!$L$3:$M$7,2,0)*IF(AJ181="",1,VLOOKUP(AJ181,'Look Ups'!$O$3:$P$4,2,0)))</f>
        <v>1</v>
      </c>
      <c r="AL181" s="83">
        <v>14.85</v>
      </c>
      <c r="AM181" s="91">
        <v>13.92</v>
      </c>
      <c r="AN181" s="91">
        <v>4.43</v>
      </c>
      <c r="AO181" s="91">
        <v>0.28000000000000003</v>
      </c>
      <c r="AP181" s="91">
        <v>0.66</v>
      </c>
      <c r="AQ181" s="91">
        <v>13.88</v>
      </c>
      <c r="AR181" s="91">
        <v>-0.15</v>
      </c>
      <c r="AS181" s="91">
        <v>4.95</v>
      </c>
      <c r="AT181" s="91">
        <v>0.05</v>
      </c>
      <c r="AU181" s="91">
        <v>0</v>
      </c>
      <c r="AV181" s="91" t="s">
        <v>148</v>
      </c>
      <c r="AW181" s="97">
        <v>0</v>
      </c>
      <c r="AX181" s="256">
        <f t="shared" si="6"/>
        <v>13.930000000000001</v>
      </c>
      <c r="AY181" s="256">
        <f t="shared" si="7"/>
        <v>0</v>
      </c>
      <c r="AZ181" s="275">
        <f>IF(C181="",0,(0.5*(_ML1*LPM)+0.5*(_ML1*HB)+0.66*(P*PR)+0.66*(_ML2*RDM)+0.66*(E*ER))*VLOOKUP(BATT,'Look Ups'!$U$3:$V$4,2,0))</f>
        <v>39.824532000000005</v>
      </c>
      <c r="BA181" s="98"/>
      <c r="BB181" s="99"/>
      <c r="BC181" s="83">
        <v>16.68</v>
      </c>
      <c r="BD181" s="91">
        <v>5.54</v>
      </c>
      <c r="BE181" s="91">
        <v>6.27</v>
      </c>
      <c r="BF181" s="91">
        <v>0.15</v>
      </c>
      <c r="BG181" s="91">
        <v>14.87</v>
      </c>
      <c r="BH181" s="91"/>
      <c r="BI181" s="91"/>
      <c r="BJ181" s="91">
        <v>-0.16</v>
      </c>
      <c r="BK181" s="91">
        <v>-0.17</v>
      </c>
      <c r="BL181" s="97">
        <v>0</v>
      </c>
      <c r="BM181" s="275">
        <f t="shared" si="8"/>
        <v>43.382562</v>
      </c>
      <c r="BN181" s="319"/>
      <c r="BO181" s="320"/>
      <c r="BP181" s="321"/>
      <c r="BQ181" s="321"/>
      <c r="BR181" s="320"/>
      <c r="BS181" s="321"/>
      <c r="BT181" s="321"/>
      <c r="BU181" s="280">
        <f t="shared" si="9"/>
        <v>0</v>
      </c>
      <c r="BV181" s="322"/>
      <c r="BW181" s="320"/>
      <c r="BX181" s="320"/>
      <c r="BY181" s="320"/>
      <c r="BZ181" s="320"/>
      <c r="CA181" s="320"/>
      <c r="CB181" s="320"/>
      <c r="CC181" s="275">
        <f t="shared" si="10"/>
        <v>0</v>
      </c>
      <c r="CD181" s="98">
        <v>11.6</v>
      </c>
      <c r="CE181" s="91">
        <v>18.420000000000002</v>
      </c>
      <c r="CF181" s="91">
        <v>17.32</v>
      </c>
      <c r="CG181" s="91">
        <v>10.15</v>
      </c>
      <c r="CH181" s="266">
        <f t="shared" si="11"/>
        <v>87.500000000000014</v>
      </c>
      <c r="CI181" s="320"/>
      <c r="CJ181" s="280">
        <f t="shared" si="12"/>
        <v>155.46899999999999</v>
      </c>
      <c r="CK181" s="83"/>
      <c r="CL181" s="91"/>
      <c r="CM181" s="91"/>
      <c r="CN181" s="91"/>
      <c r="CO181" s="256" t="str">
        <f t="shared" si="13"/>
        <v/>
      </c>
      <c r="CP181" s="320"/>
      <c r="CQ181" s="256">
        <f t="shared" si="14"/>
        <v>0</v>
      </c>
      <c r="CR181" s="256" t="str">
        <f>IF(CO181&lt;'Look Ups'!$AC$4,"Yes","No")</f>
        <v>No</v>
      </c>
      <c r="CS181" s="293">
        <f>IF(CR181="Yes",MIN(150,('Look Ups'!$AC$4-PSCR)/('Look Ups'!$AC$4-'Look Ups'!$AC$3)*100),0)</f>
        <v>0</v>
      </c>
      <c r="CT181" s="83"/>
      <c r="CU181" s="91"/>
      <c r="CV181" s="91"/>
      <c r="CW181" s="91"/>
      <c r="CX181" s="256" t="str">
        <f t="shared" si="15"/>
        <v/>
      </c>
      <c r="CY181" s="293">
        <f>IF(PUSCR&lt;'Look Ups'!$AC$4,MIN(150,('Look Ups'!$AC$4-PUSCR)/('Look Ups'!$AC$4-'Look Ups'!$AC$3)*100),0)</f>
        <v>0</v>
      </c>
      <c r="CZ181" s="275">
        <f>IF(PUSCR&lt;'Look Ups'!$AC$4,USCRF*(USCRL1+USCRL2)/4+(USCRMG-USCRF/2)*(USCRL1+USCRL2)/3,0)</f>
        <v>0</v>
      </c>
      <c r="DA181" s="294">
        <f t="shared" si="16"/>
        <v>1</v>
      </c>
      <c r="DB181" s="256">
        <f t="shared" si="17"/>
        <v>39.824532000000005</v>
      </c>
      <c r="DC181" s="256">
        <f t="shared" si="18"/>
        <v>1</v>
      </c>
      <c r="DD181" s="256">
        <f t="shared" si="19"/>
        <v>43.382562</v>
      </c>
      <c r="DE181" s="256">
        <f>IF(AZ181&gt;0,'Look Ups'!$S$3,0)</f>
        <v>1</v>
      </c>
      <c r="DF181" s="256">
        <f t="shared" si="20"/>
        <v>0</v>
      </c>
      <c r="DG181" s="256">
        <f t="shared" si="21"/>
        <v>0</v>
      </c>
      <c r="DH181" s="256">
        <f t="shared" si="22"/>
        <v>0</v>
      </c>
      <c r="DI181" s="280">
        <f t="shared" si="23"/>
        <v>0</v>
      </c>
      <c r="DJ181" s="295" t="str">
        <f t="shared" si="24"/>
        <v>-</v>
      </c>
      <c r="DK181" s="266" t="str">
        <f t="shared" si="25"/>
        <v>valid</v>
      </c>
      <c r="DL181" s="267" t="str">
        <f t="shared" si="26"/>
        <v>MGSP</v>
      </c>
      <c r="DM181" s="294">
        <f t="shared" si="27"/>
        <v>83.207094000000012</v>
      </c>
      <c r="DN181" s="256">
        <f>IF(MSASP&gt;0,'Look Ups'!$AI$4*(ZVAL*MSASP-RSAG),0)</f>
        <v>33.625931399999992</v>
      </c>
      <c r="DO181" s="256">
        <f>IF(AND(MSASC&gt;0,(MSASC&gt;=0.36*RSAM)),('Look Ups'!$AI$3*(ZVAL*MSASC-RSAG)),(0))</f>
        <v>0</v>
      </c>
      <c r="DP181" s="256">
        <f>IF(MSASP&gt;0,'Look Ups'!$AI$5*(ZVAL*MSASP-RSAG),0)</f>
        <v>31.384202639999998</v>
      </c>
      <c r="DQ181" s="256">
        <f>IF(MSASC&gt;0,'Look Ups'!$AI$6*(MSASC-RSAG),0)</f>
        <v>0</v>
      </c>
      <c r="DR181" s="280">
        <f>'Look Ups'!$AI$7*MAX(IF(MSAUSC&gt;0,EUSC/100*(MSAUSC-RSAG),0),IF(CR181="Yes",ELSC/100*(MSASC-RSAG),0))</f>
        <v>0</v>
      </c>
      <c r="DS181" s="280">
        <f t="shared" si="28"/>
        <v>14.33683152</v>
      </c>
      <c r="DT181" s="296">
        <f t="shared" si="29"/>
        <v>116.8330254</v>
      </c>
      <c r="DU181" s="14"/>
    </row>
    <row r="182" spans="1:125" ht="15.6" customHeight="1" x14ac:dyDescent="0.3">
      <c r="A182" s="4"/>
      <c r="B182" s="365"/>
      <c r="C182" s="369" t="s">
        <v>669</v>
      </c>
      <c r="D182" s="370"/>
      <c r="E182" s="371" t="s">
        <v>670</v>
      </c>
      <c r="F182" s="252">
        <f t="shared" ca="1" si="0"/>
        <v>0.81699999999999995</v>
      </c>
      <c r="G182" s="252" t="str">
        <f ca="1">IF(OR(FLSCR="ERROR",FLSPI="ERROR"),"No",IF(TODAY()-'Look Ups'!$D$4*365&gt;I182,"WP Applied","Yes"))</f>
        <v>WP Applied</v>
      </c>
      <c r="H182" s="253" t="str">
        <f t="shared" si="1"/>
        <v>Main-Genoa-Screacher-Spinnaker</v>
      </c>
      <c r="I182" s="1">
        <v>38394</v>
      </c>
      <c r="J182" s="1">
        <v>39521</v>
      </c>
      <c r="K182" s="87" t="s">
        <v>445</v>
      </c>
      <c r="L182" s="87" t="s">
        <v>671</v>
      </c>
      <c r="M182" s="207"/>
      <c r="N182" s="88" t="s">
        <v>165</v>
      </c>
      <c r="O182" s="88"/>
      <c r="P182" s="89"/>
      <c r="Q182" s="90">
        <v>11.21</v>
      </c>
      <c r="R182" s="87"/>
      <c r="S182" s="256">
        <f t="shared" si="2"/>
        <v>0.28025000000000005</v>
      </c>
      <c r="T182" s="117">
        <v>0</v>
      </c>
      <c r="U182" s="117">
        <v>0</v>
      </c>
      <c r="V182" s="258">
        <f t="shared" si="3"/>
        <v>11.21</v>
      </c>
      <c r="W182" s="259">
        <f>IF(RL&gt;0,IF(RL&gt;'Look Ups'!Y$7,'Look Ups'!Y$8,('Look Ups'!Y$3*RL^3+'Look Ups'!Y$4*RL^2+'Look Ups'!Y$5*RL+'Look Ups'!Y$6)),0)</f>
        <v>0.29965218051300002</v>
      </c>
      <c r="X182" s="92">
        <v>4697</v>
      </c>
      <c r="Y182" s="263">
        <f ca="1">IF(WDATE&lt;(TODAY()-'Look Ups'!$D$4*365),-WM*'Look Ups'!$D$5/100,0)</f>
        <v>-704.55</v>
      </c>
      <c r="Z182" s="103"/>
      <c r="AA182" s="109"/>
      <c r="AB182" s="109"/>
      <c r="AC182" s="265">
        <f>WCD+NC*'Look Ups'!$AF$3</f>
        <v>0</v>
      </c>
      <c r="AD182" s="265">
        <f ca="1">IF(RL&lt;'Look Ups'!AM$3,'Look Ups'!AM$4,IF(RL&gt;'Look Ups'!AM$5,'Look Ups'!AM$6,(RL-'Look Ups'!AM$3)/('Look Ups'!AM$5-'Look Ups'!AM$3)*('Look Ups'!AM$6-'Look Ups'!AM$4)+'Look Ups'!AM$4))/100*WS</f>
        <v>542.97319999999979</v>
      </c>
      <c r="AE182" s="269">
        <f t="shared" ca="1" si="4"/>
        <v>3992.45</v>
      </c>
      <c r="AF182" s="267">
        <f t="shared" ca="1" si="5"/>
        <v>3992.45</v>
      </c>
      <c r="AG182" s="94" t="s">
        <v>145</v>
      </c>
      <c r="AH182" s="95" t="s">
        <v>146</v>
      </c>
      <c r="AI182" s="96" t="s">
        <v>177</v>
      </c>
      <c r="AJ182" s="218"/>
      <c r="AK182" s="273">
        <f>IF(C182="",0,VLOOKUP(AG182,'Look Ups'!$F$3:$G$6,2,0)*VLOOKUP(AH182,'Look Ups'!$I$3:$J$5,2,0)*VLOOKUP(AI182,'Look Ups'!$L$3:$M$7,2,0)*IF(AJ182="",1,VLOOKUP(AJ182,'Look Ups'!$O$3:$P$4,2,0)))</f>
        <v>0.99</v>
      </c>
      <c r="AL182" s="83">
        <v>14.36</v>
      </c>
      <c r="AM182" s="91">
        <v>13.94</v>
      </c>
      <c r="AN182" s="91">
        <v>5.0999999999999996</v>
      </c>
      <c r="AO182" s="91">
        <v>1.1299999999999999</v>
      </c>
      <c r="AP182" s="91">
        <v>0.8</v>
      </c>
      <c r="AQ182" s="91">
        <v>13.88</v>
      </c>
      <c r="AR182" s="91">
        <v>0.16</v>
      </c>
      <c r="AS182" s="91">
        <v>5.33</v>
      </c>
      <c r="AT182" s="91">
        <v>0.04</v>
      </c>
      <c r="AU182" s="91"/>
      <c r="AV182" s="91" t="s">
        <v>148</v>
      </c>
      <c r="AW182" s="97"/>
      <c r="AX182" s="256">
        <f t="shared" si="6"/>
        <v>13.92</v>
      </c>
      <c r="AY182" s="256">
        <f t="shared" si="7"/>
        <v>0</v>
      </c>
      <c r="AZ182" s="275">
        <f>IF(C182="",0,(0.5*(_ML1*LPM)+0.5*(_ML1*HB)+0.66*(P*PR)+0.66*(_ML2*RDM)+0.66*(E*ER))*VLOOKUP(BATT,'Look Ups'!$U$3:$V$4,2,0))</f>
        <v>53.698159999999994</v>
      </c>
      <c r="BA182" s="98"/>
      <c r="BB182" s="99"/>
      <c r="BC182" s="83">
        <v>13.35</v>
      </c>
      <c r="BD182" s="91">
        <v>3.04</v>
      </c>
      <c r="BE182" s="91">
        <v>3.35</v>
      </c>
      <c r="BF182" s="91">
        <v>0.06</v>
      </c>
      <c r="BG182" s="91">
        <v>12.3</v>
      </c>
      <c r="BH182" s="91"/>
      <c r="BI182" s="91"/>
      <c r="BJ182" s="91">
        <v>0.09</v>
      </c>
      <c r="BK182" s="91">
        <v>0.06</v>
      </c>
      <c r="BL182" s="97" t="s">
        <v>446</v>
      </c>
      <c r="BM182" s="275">
        <f t="shared" si="8"/>
        <v>21.68394</v>
      </c>
      <c r="BN182" s="319"/>
      <c r="BO182" s="320"/>
      <c r="BP182" s="321"/>
      <c r="BQ182" s="321"/>
      <c r="BR182" s="320"/>
      <c r="BS182" s="321"/>
      <c r="BT182" s="321"/>
      <c r="BU182" s="280">
        <f t="shared" si="9"/>
        <v>0</v>
      </c>
      <c r="BV182" s="322"/>
      <c r="BW182" s="320"/>
      <c r="BX182" s="320"/>
      <c r="BY182" s="320"/>
      <c r="BZ182" s="320"/>
      <c r="CA182" s="320"/>
      <c r="CB182" s="320"/>
      <c r="CC182" s="275">
        <f t="shared" si="10"/>
        <v>0</v>
      </c>
      <c r="CD182" s="98">
        <v>8.93</v>
      </c>
      <c r="CE182" s="91">
        <v>16.32</v>
      </c>
      <c r="CF182" s="91">
        <v>14.31</v>
      </c>
      <c r="CG182" s="91">
        <v>8.3000000000000007</v>
      </c>
      <c r="CH182" s="266">
        <f t="shared" si="11"/>
        <v>92.945128779395304</v>
      </c>
      <c r="CI182" s="320"/>
      <c r="CJ182" s="280">
        <f t="shared" si="12"/>
        <v>107.53682500000002</v>
      </c>
      <c r="CK182" s="83">
        <v>7.37</v>
      </c>
      <c r="CL182" s="91">
        <v>14</v>
      </c>
      <c r="CM182" s="91">
        <v>11.8</v>
      </c>
      <c r="CN182" s="91">
        <v>5.4</v>
      </c>
      <c r="CO182" s="256">
        <f t="shared" si="13"/>
        <v>73.270013568521037</v>
      </c>
      <c r="CP182" s="320"/>
      <c r="CQ182" s="256">
        <f t="shared" si="14"/>
        <v>62.285500000000006</v>
      </c>
      <c r="CR182" s="256" t="str">
        <f>IF(CO182&lt;'Look Ups'!$AC$4,"Yes","No")</f>
        <v>No</v>
      </c>
      <c r="CS182" s="293">
        <f>IF(CR182="Yes",MIN(150,('Look Ups'!$AC$4-PSCR)/('Look Ups'!$AC$4-'Look Ups'!$AC$3)*100),0)</f>
        <v>0</v>
      </c>
      <c r="CT182" s="83"/>
      <c r="CU182" s="91"/>
      <c r="CV182" s="91"/>
      <c r="CW182" s="91"/>
      <c r="CX182" s="256" t="str">
        <f t="shared" si="15"/>
        <v/>
      </c>
      <c r="CY182" s="293">
        <f>IF(PUSCR&lt;'Look Ups'!$AC$4,MIN(150,('Look Ups'!$AC$4-PUSCR)/('Look Ups'!$AC$4-'Look Ups'!$AC$3)*100),0)</f>
        <v>0</v>
      </c>
      <c r="CZ182" s="275">
        <f>IF(PUSCR&lt;'Look Ups'!$AC$4,USCRF*(USCRL1+USCRL2)/4+(USCRMG-USCRF/2)*(USCRL1+USCRL2)/3,0)</f>
        <v>0</v>
      </c>
      <c r="DA182" s="294">
        <f t="shared" si="16"/>
        <v>1</v>
      </c>
      <c r="DB182" s="256">
        <f t="shared" si="17"/>
        <v>53.698160000000001</v>
      </c>
      <c r="DC182" s="256">
        <f t="shared" si="18"/>
        <v>1</v>
      </c>
      <c r="DD182" s="256">
        <f t="shared" si="19"/>
        <v>21.68394</v>
      </c>
      <c r="DE182" s="256">
        <f>IF(AZ182&gt;0,'Look Ups'!$S$3,0)</f>
        <v>1</v>
      </c>
      <c r="DF182" s="256">
        <f t="shared" si="20"/>
        <v>0</v>
      </c>
      <c r="DG182" s="256">
        <f t="shared" si="21"/>
        <v>0</v>
      </c>
      <c r="DH182" s="256">
        <f t="shared" si="22"/>
        <v>0</v>
      </c>
      <c r="DI182" s="280">
        <f t="shared" si="23"/>
        <v>0</v>
      </c>
      <c r="DJ182" s="295" t="str">
        <f t="shared" si="24"/>
        <v>valid</v>
      </c>
      <c r="DK182" s="266" t="str">
        <f t="shared" si="25"/>
        <v>valid</v>
      </c>
      <c r="DL182" s="267" t="str">
        <f t="shared" si="26"/>
        <v>MGScrSP</v>
      </c>
      <c r="DM182" s="294">
        <f t="shared" si="27"/>
        <v>75.382100000000008</v>
      </c>
      <c r="DN182" s="256">
        <f>IF(MSASP&gt;0,'Look Ups'!$AI$4*(ZVAL*MSASP-RSAG),0)</f>
        <v>25.755865500000002</v>
      </c>
      <c r="DO182" s="256">
        <f>IF(AND(MSASC&gt;0,(MSASC&gt;=0.36*RSAM)),('Look Ups'!$AI$3*(ZVAL*MSASC-RSAG)),(0))</f>
        <v>14.210546000000001</v>
      </c>
      <c r="DP182" s="256">
        <f>IF(MSASP&gt;0,'Look Ups'!$AI$5*(ZVAL*MSASP-RSAG),0)</f>
        <v>24.038807800000008</v>
      </c>
      <c r="DQ182" s="256">
        <f>IF(MSASC&gt;0,'Look Ups'!$AI$6*(MSASC-RSAG),0)</f>
        <v>2.8421092000000008</v>
      </c>
      <c r="DR182" s="280">
        <f>'Look Ups'!$AI$7*MAX(IF(MSAUSC&gt;0,EUSC/100*(MSAUSC-RSAG),0),IF(CR182="Yes",ELSC/100*(MSASC-RSAG),0))</f>
        <v>0</v>
      </c>
      <c r="DS182" s="280">
        <f t="shared" si="28"/>
        <v>19.331337600000001</v>
      </c>
      <c r="DT182" s="296">
        <f t="shared" si="29"/>
        <v>102.263017</v>
      </c>
      <c r="DU182" s="14"/>
    </row>
    <row r="183" spans="1:125" ht="15.6" customHeight="1" x14ac:dyDescent="0.3">
      <c r="A183" s="4"/>
      <c r="B183" s="365"/>
      <c r="C183" s="369" t="s">
        <v>672</v>
      </c>
      <c r="D183" s="370" t="s">
        <v>673</v>
      </c>
      <c r="E183" s="371" t="s">
        <v>674</v>
      </c>
      <c r="F183" s="252">
        <f t="shared" ca="1" si="0"/>
        <v>1.111</v>
      </c>
      <c r="G183" s="252" t="str">
        <f ca="1">IF(OR(FLSCR="ERROR",FLSPI="ERROR"),"No",IF(TODAY()-'Look Ups'!$D$4*365&gt;I183,"WP Applied","Yes"))</f>
        <v>Yes</v>
      </c>
      <c r="H183" s="253" t="str">
        <f t="shared" si="1"/>
        <v>Main-Genoa-Screacher (Upwind)</v>
      </c>
      <c r="I183" s="1">
        <v>43007</v>
      </c>
      <c r="J183" s="1">
        <v>42989</v>
      </c>
      <c r="K183" s="87" t="s">
        <v>182</v>
      </c>
      <c r="L183" s="87" t="s">
        <v>142</v>
      </c>
      <c r="M183" s="207"/>
      <c r="N183" s="88" t="s">
        <v>165</v>
      </c>
      <c r="O183" s="88"/>
      <c r="P183" s="89"/>
      <c r="Q183" s="90">
        <v>11.23</v>
      </c>
      <c r="R183" s="87"/>
      <c r="S183" s="256">
        <f t="shared" si="2"/>
        <v>0.28075</v>
      </c>
      <c r="T183" s="117">
        <v>0</v>
      </c>
      <c r="U183" s="117">
        <v>0</v>
      </c>
      <c r="V183" s="258">
        <f t="shared" si="3"/>
        <v>11.23</v>
      </c>
      <c r="W183" s="259">
        <f>IF(RL&gt;0,IF(RL&gt;'Look Ups'!Y$7,'Look Ups'!Y$8,('Look Ups'!Y$3*RL^3+'Look Ups'!Y$4*RL^2+'Look Ups'!Y$5*RL+'Look Ups'!Y$6)),0)</f>
        <v>0.29966311961100001</v>
      </c>
      <c r="X183" s="92">
        <v>1434</v>
      </c>
      <c r="Y183" s="263">
        <f ca="1">IF(WDATE&lt;(TODAY()-'Look Ups'!$D$4*365),-WM*'Look Ups'!$D$5/100,0)</f>
        <v>0</v>
      </c>
      <c r="Z183" s="103"/>
      <c r="AA183" s="109"/>
      <c r="AB183" s="109"/>
      <c r="AC183" s="265">
        <f>WCD+NC*'Look Ups'!$AF$3</f>
        <v>0</v>
      </c>
      <c r="AD183" s="265">
        <f ca="1">IF(RL&lt;'Look Ups'!AM$3,'Look Ups'!AM$4,IF(RL&gt;'Look Ups'!AM$5,'Look Ups'!AM$6,(RL-'Look Ups'!AM$3)/('Look Ups'!AM$5-'Look Ups'!AM$3)*('Look Ups'!AM$6-'Look Ups'!AM$4)+'Look Ups'!AM$4))/100*WS</f>
        <v>193.98109090909085</v>
      </c>
      <c r="AE183" s="269">
        <f t="shared" ca="1" si="4"/>
        <v>1434</v>
      </c>
      <c r="AF183" s="267">
        <f t="shared" ca="1" si="5"/>
        <v>1434</v>
      </c>
      <c r="AG183" s="94" t="s">
        <v>145</v>
      </c>
      <c r="AH183" s="95" t="s">
        <v>146</v>
      </c>
      <c r="AI183" s="96" t="s">
        <v>147</v>
      </c>
      <c r="AJ183" s="218"/>
      <c r="AK183" s="273">
        <f>IF(C183="",0,VLOOKUP(AG183,'Look Ups'!$F$3:$G$6,2,0)*VLOOKUP(AH183,'Look Ups'!$I$3:$J$5,2,0)*VLOOKUP(AI183,'Look Ups'!$L$3:$M$7,2,0)*IF(AJ183="",1,VLOOKUP(AJ183,'Look Ups'!$O$3:$P$4,2,0)))</f>
        <v>1</v>
      </c>
      <c r="AL183" s="83">
        <v>16.07</v>
      </c>
      <c r="AM183" s="91">
        <v>15.8</v>
      </c>
      <c r="AN183" s="91">
        <v>4.42</v>
      </c>
      <c r="AO183" s="91">
        <v>2.38</v>
      </c>
      <c r="AP183" s="91">
        <v>0.12</v>
      </c>
      <c r="AQ183" s="91">
        <v>15.91</v>
      </c>
      <c r="AR183" s="91">
        <v>0.12</v>
      </c>
      <c r="AS183" s="91">
        <v>4.43</v>
      </c>
      <c r="AT183" s="91">
        <v>0.06</v>
      </c>
      <c r="AU183" s="91">
        <v>0.77</v>
      </c>
      <c r="AV183" s="91" t="s">
        <v>148</v>
      </c>
      <c r="AW183" s="97">
        <v>0</v>
      </c>
      <c r="AX183" s="256">
        <f t="shared" si="6"/>
        <v>15.97</v>
      </c>
      <c r="AY183" s="256">
        <f t="shared" si="7"/>
        <v>4.5940125000000007</v>
      </c>
      <c r="AZ183" s="275">
        <f>IF(C183="",0,(0.5*(_ML1*LPM)+0.5*(_ML1*HB)+0.66*(P*PR)+0.66*(_ML2*RDM)+0.66*(E*ER))*VLOOKUP(BATT,'Look Ups'!$U$3:$V$4,2,0))</f>
        <v>57.324859999999994</v>
      </c>
      <c r="BA183" s="98"/>
      <c r="BB183" s="99"/>
      <c r="BC183" s="83">
        <v>10.62</v>
      </c>
      <c r="BD183" s="91">
        <v>3.12</v>
      </c>
      <c r="BE183" s="91">
        <v>3.17</v>
      </c>
      <c r="BF183" s="91">
        <v>0.06</v>
      </c>
      <c r="BG183" s="91">
        <v>10.48</v>
      </c>
      <c r="BH183" s="91">
        <v>10.49</v>
      </c>
      <c r="BI183" s="91">
        <v>0.57999999999999996</v>
      </c>
      <c r="BJ183" s="91">
        <v>-0.12</v>
      </c>
      <c r="BK183" s="91">
        <v>0</v>
      </c>
      <c r="BL183" s="97">
        <v>0</v>
      </c>
      <c r="BM183" s="275">
        <f t="shared" si="8"/>
        <v>18.901123999999999</v>
      </c>
      <c r="BN183" s="319"/>
      <c r="BO183" s="320"/>
      <c r="BP183" s="321"/>
      <c r="BQ183" s="321"/>
      <c r="BR183" s="320"/>
      <c r="BS183" s="321"/>
      <c r="BT183" s="321"/>
      <c r="BU183" s="280">
        <f t="shared" si="9"/>
        <v>0</v>
      </c>
      <c r="BV183" s="322"/>
      <c r="BW183" s="320"/>
      <c r="BX183" s="320"/>
      <c r="BY183" s="320"/>
      <c r="BZ183" s="320"/>
      <c r="CA183" s="320"/>
      <c r="CB183" s="320"/>
      <c r="CC183" s="275">
        <f t="shared" si="10"/>
        <v>0</v>
      </c>
      <c r="CD183" s="98"/>
      <c r="CE183" s="91"/>
      <c r="CF183" s="91"/>
      <c r="CG183" s="91"/>
      <c r="CH183" s="266" t="str">
        <f t="shared" si="11"/>
        <v/>
      </c>
      <c r="CI183" s="320"/>
      <c r="CJ183" s="280">
        <f t="shared" si="12"/>
        <v>0</v>
      </c>
      <c r="CK183" s="83">
        <v>6.7</v>
      </c>
      <c r="CL183" s="91">
        <v>15.55</v>
      </c>
      <c r="CM183" s="91">
        <v>13.3</v>
      </c>
      <c r="CN183" s="91">
        <v>3.38</v>
      </c>
      <c r="CO183" s="256">
        <f t="shared" si="13"/>
        <v>50.447761194029852</v>
      </c>
      <c r="CP183" s="320"/>
      <c r="CQ183" s="256">
        <f t="shared" si="14"/>
        <v>48.612250000000003</v>
      </c>
      <c r="CR183" s="256" t="str">
        <f>IF(CO183&lt;'Look Ups'!$AC$4,"Yes","No")</f>
        <v>Yes</v>
      </c>
      <c r="CS183" s="293">
        <f>IF(CR183="Yes",MIN(150,('Look Ups'!$AC$4-PSCR)/('Look Ups'!$AC$4-'Look Ups'!$AC$3)*100),0)</f>
        <v>31.044776119402968</v>
      </c>
      <c r="CT183" s="83"/>
      <c r="CU183" s="91"/>
      <c r="CV183" s="91"/>
      <c r="CW183" s="91"/>
      <c r="CX183" s="256" t="str">
        <f t="shared" si="15"/>
        <v/>
      </c>
      <c r="CY183" s="293">
        <f>IF(PUSCR&lt;'Look Ups'!$AC$4,MIN(150,('Look Ups'!$AC$4-PUSCR)/('Look Ups'!$AC$4-'Look Ups'!$AC$3)*100),0)</f>
        <v>0</v>
      </c>
      <c r="CZ183" s="275">
        <f>IF(PUSCR&lt;'Look Ups'!$AC$4,USCRF*(USCRL1+USCRL2)/4+(USCRMG-USCRF/2)*(USCRL1+USCRL2)/3,0)</f>
        <v>0</v>
      </c>
      <c r="DA183" s="294">
        <f t="shared" si="16"/>
        <v>1</v>
      </c>
      <c r="DB183" s="256">
        <f t="shared" si="17"/>
        <v>61.918872499999992</v>
      </c>
      <c r="DC183" s="256">
        <f t="shared" si="18"/>
        <v>1</v>
      </c>
      <c r="DD183" s="256">
        <f t="shared" si="19"/>
        <v>18.901123999999999</v>
      </c>
      <c r="DE183" s="256">
        <f>IF(AZ183&gt;0,'Look Ups'!$S$3,0)</f>
        <v>1</v>
      </c>
      <c r="DF183" s="256">
        <f t="shared" si="20"/>
        <v>0</v>
      </c>
      <c r="DG183" s="256">
        <f t="shared" si="21"/>
        <v>0</v>
      </c>
      <c r="DH183" s="256">
        <f t="shared" si="22"/>
        <v>0</v>
      </c>
      <c r="DI183" s="280">
        <f t="shared" si="23"/>
        <v>0</v>
      </c>
      <c r="DJ183" s="295" t="str">
        <f t="shared" si="24"/>
        <v>valid</v>
      </c>
      <c r="DK183" s="266" t="str">
        <f t="shared" si="25"/>
        <v>-</v>
      </c>
      <c r="DL183" s="267" t="str">
        <f t="shared" si="26"/>
        <v>MGScr</v>
      </c>
      <c r="DM183" s="294">
        <f t="shared" si="27"/>
        <v>80.819996499999988</v>
      </c>
      <c r="DN183" s="256">
        <f>IF(MSASP&gt;0,'Look Ups'!$AI$4*(ZVAL*MSASP-RSAG),0)</f>
        <v>0</v>
      </c>
      <c r="DO183" s="256">
        <f>IF(AND(MSASC&gt;0,(MSASC&gt;=0.36*RSAM)),('Look Ups'!$AI$3*(ZVAL*MSASC-RSAG)),(0))</f>
        <v>10.398894100000001</v>
      </c>
      <c r="DP183" s="256">
        <f>IF(MSASP&gt;0,'Look Ups'!$AI$5*(ZVAL*MSASP-RSAG),0)</f>
        <v>0</v>
      </c>
      <c r="DQ183" s="256">
        <f>IF(MSASC&gt;0,'Look Ups'!$AI$6*(MSASC-RSAG),0)</f>
        <v>2.0797788200000005</v>
      </c>
      <c r="DR183" s="280">
        <f>'Look Ups'!$AI$7*MAX(IF(MSAUSC&gt;0,EUSC/100*(MSAUSC-RSAG),0),IF(CR183="Yes",ELSC/100*(MSASC-RSAG),0))</f>
        <v>2.305938137313432</v>
      </c>
      <c r="DS183" s="280">
        <f t="shared" si="28"/>
        <v>22.290794099999996</v>
      </c>
      <c r="DT183" s="296">
        <f t="shared" si="29"/>
        <v>93.524828737313427</v>
      </c>
      <c r="DU183" s="14"/>
    </row>
    <row r="184" spans="1:125" ht="15.6" customHeight="1" x14ac:dyDescent="0.3">
      <c r="A184" s="4"/>
      <c r="B184" s="365"/>
      <c r="C184" s="369" t="s">
        <v>675</v>
      </c>
      <c r="D184" s="370" t="s">
        <v>194</v>
      </c>
      <c r="E184" s="371" t="s">
        <v>522</v>
      </c>
      <c r="F184" s="252">
        <f t="shared" ca="1" si="0"/>
        <v>0.91200000000000003</v>
      </c>
      <c r="G184" s="252" t="str">
        <f ca="1">IF(OR(FLSCR="ERROR",FLSPI="ERROR"),"No",IF(TODAY()-'Look Ups'!$D$4*365&gt;I184,"WP Applied","Yes"))</f>
        <v>WP Applied</v>
      </c>
      <c r="H184" s="253" t="str">
        <f t="shared" si="1"/>
        <v>Main-Genoa-Spinnaker</v>
      </c>
      <c r="I184" s="1">
        <v>38513</v>
      </c>
      <c r="J184" s="1">
        <v>40488</v>
      </c>
      <c r="K184" s="87" t="s">
        <v>676</v>
      </c>
      <c r="L184" s="87" t="s">
        <v>192</v>
      </c>
      <c r="M184" s="207"/>
      <c r="N184" s="88" t="s">
        <v>271</v>
      </c>
      <c r="O184" s="88"/>
      <c r="P184" s="89"/>
      <c r="Q184" s="90">
        <v>7.32</v>
      </c>
      <c r="R184" s="87"/>
      <c r="S184" s="256">
        <f t="shared" si="2"/>
        <v>0.18300000000000002</v>
      </c>
      <c r="T184" s="117">
        <v>0.14000000000000001</v>
      </c>
      <c r="U184" s="117">
        <v>0</v>
      </c>
      <c r="V184" s="258">
        <f t="shared" si="3"/>
        <v>7.1800000000000006</v>
      </c>
      <c r="W184" s="259">
        <f>IF(RL&gt;0,IF(RL&gt;'Look Ups'!Y$7,'Look Ups'!Y$8,('Look Ups'!Y$3*RL^3+'Look Ups'!Y$4*RL^2+'Look Ups'!Y$5*RL+'Look Ups'!Y$6)),0)</f>
        <v>0.29055146565600004</v>
      </c>
      <c r="X184" s="92">
        <v>955</v>
      </c>
      <c r="Y184" s="263">
        <f ca="1">IF(WDATE&lt;(TODAY()-'Look Ups'!$D$4*365),-WM*'Look Ups'!$D$5/100,0)</f>
        <v>-143.25</v>
      </c>
      <c r="Z184" s="103"/>
      <c r="AA184" s="109"/>
      <c r="AB184" s="109"/>
      <c r="AC184" s="265">
        <f>WCD+NC*'Look Ups'!$AF$3</f>
        <v>0</v>
      </c>
      <c r="AD184" s="265">
        <f ca="1">IF(RL&lt;'Look Ups'!AM$3,'Look Ups'!AM$4,IF(RL&gt;'Look Ups'!AM$5,'Look Ups'!AM$6,(RL-'Look Ups'!AM$3)/('Look Ups'!AM$5-'Look Ups'!AM$3)*('Look Ups'!AM$6-'Look Ups'!AM$4)+'Look Ups'!AM$4))/100*WS</f>
        <v>229.35627272727274</v>
      </c>
      <c r="AE184" s="269">
        <f t="shared" ca="1" si="4"/>
        <v>811.75</v>
      </c>
      <c r="AF184" s="267">
        <f t="shared" ca="1" si="5"/>
        <v>811.75</v>
      </c>
      <c r="AG184" s="94" t="s">
        <v>145</v>
      </c>
      <c r="AH184" s="95" t="s">
        <v>146</v>
      </c>
      <c r="AI184" s="96" t="s">
        <v>147</v>
      </c>
      <c r="AJ184" s="218"/>
      <c r="AK184" s="273">
        <f>IF(C184="",0,VLOOKUP(AG184,'Look Ups'!$F$3:$G$6,2,0)*VLOOKUP(AH184,'Look Ups'!$I$3:$J$5,2,0)*VLOOKUP(AI184,'Look Ups'!$L$3:$M$7,2,0)*IF(AJ184="",1,VLOOKUP(AJ184,'Look Ups'!$O$3:$P$4,2,0)))</f>
        <v>1</v>
      </c>
      <c r="AL184" s="83">
        <v>10.130000000000001</v>
      </c>
      <c r="AM184" s="91">
        <v>9.91</v>
      </c>
      <c r="AN184" s="91">
        <v>3.1749999999999998</v>
      </c>
      <c r="AO184" s="91">
        <v>0.72499999999999998</v>
      </c>
      <c r="AP184" s="91">
        <v>0.77</v>
      </c>
      <c r="AQ184" s="91">
        <v>9.8000000000000007</v>
      </c>
      <c r="AR184" s="91">
        <v>0.05</v>
      </c>
      <c r="AS184" s="91">
        <v>3.27</v>
      </c>
      <c r="AT184" s="91">
        <v>3.5000000000000003E-2</v>
      </c>
      <c r="AU184" s="91">
        <v>0.5</v>
      </c>
      <c r="AV184" s="91" t="s">
        <v>148</v>
      </c>
      <c r="AW184" s="97">
        <v>0</v>
      </c>
      <c r="AX184" s="256">
        <f t="shared" si="6"/>
        <v>9.8350000000000009</v>
      </c>
      <c r="AY184" s="256">
        <f t="shared" si="7"/>
        <v>1.8375000000000001</v>
      </c>
      <c r="AZ184" s="275">
        <f>IF(C184="",0,(0.5*(_ML1*LPM)+0.5*(_ML1*HB)+0.66*(P*PR)+0.66*(_ML2*RDM)+0.66*(E*ER))*VLOOKUP(BATT,'Look Ups'!$U$3:$V$4,2,0))</f>
        <v>25.188699000000003</v>
      </c>
      <c r="BA184" s="98"/>
      <c r="BB184" s="99"/>
      <c r="BC184" s="83">
        <v>8.75</v>
      </c>
      <c r="BD184" s="91">
        <v>2.5300000000000002</v>
      </c>
      <c r="BE184" s="91">
        <v>2.79</v>
      </c>
      <c r="BF184" s="91">
        <v>0.08</v>
      </c>
      <c r="BG184" s="91">
        <v>7.97</v>
      </c>
      <c r="BH184" s="91"/>
      <c r="BI184" s="91"/>
      <c r="BJ184" s="91">
        <v>0.22</v>
      </c>
      <c r="BK184" s="91">
        <v>0.04</v>
      </c>
      <c r="BL184" s="97">
        <v>0</v>
      </c>
      <c r="BM184" s="275">
        <f t="shared" si="8"/>
        <v>12.604306000000001</v>
      </c>
      <c r="BN184" s="319"/>
      <c r="BO184" s="320"/>
      <c r="BP184" s="321"/>
      <c r="BQ184" s="321"/>
      <c r="BR184" s="320"/>
      <c r="BS184" s="321"/>
      <c r="BT184" s="321"/>
      <c r="BU184" s="280">
        <f t="shared" si="9"/>
        <v>0</v>
      </c>
      <c r="BV184" s="322"/>
      <c r="BW184" s="320"/>
      <c r="BX184" s="320"/>
      <c r="BY184" s="320"/>
      <c r="BZ184" s="320"/>
      <c r="CA184" s="320"/>
      <c r="CB184" s="320"/>
      <c r="CC184" s="275">
        <f t="shared" si="10"/>
        <v>0</v>
      </c>
      <c r="CD184" s="98">
        <v>6.52</v>
      </c>
      <c r="CE184" s="91">
        <v>10.95</v>
      </c>
      <c r="CF184" s="91">
        <v>9.89</v>
      </c>
      <c r="CG184" s="91">
        <v>6.4</v>
      </c>
      <c r="CH184" s="266">
        <f t="shared" si="11"/>
        <v>98.159509202454004</v>
      </c>
      <c r="CI184" s="320"/>
      <c r="CJ184" s="280">
        <f t="shared" si="12"/>
        <v>55.781733333333335</v>
      </c>
      <c r="CK184" s="83"/>
      <c r="CL184" s="91"/>
      <c r="CM184" s="91"/>
      <c r="CN184" s="91"/>
      <c r="CO184" s="256" t="str">
        <f t="shared" si="13"/>
        <v/>
      </c>
      <c r="CP184" s="320"/>
      <c r="CQ184" s="256">
        <f t="shared" si="14"/>
        <v>0</v>
      </c>
      <c r="CR184" s="256" t="str">
        <f>IF(CO184&lt;'Look Ups'!$AC$4,"Yes","No")</f>
        <v>No</v>
      </c>
      <c r="CS184" s="293">
        <f>IF(CR184="Yes",MIN(150,('Look Ups'!$AC$4-PSCR)/('Look Ups'!$AC$4-'Look Ups'!$AC$3)*100),0)</f>
        <v>0</v>
      </c>
      <c r="CT184" s="83"/>
      <c r="CU184" s="91"/>
      <c r="CV184" s="91"/>
      <c r="CW184" s="91"/>
      <c r="CX184" s="256" t="str">
        <f t="shared" si="15"/>
        <v/>
      </c>
      <c r="CY184" s="293">
        <f>IF(PUSCR&lt;'Look Ups'!$AC$4,MIN(150,('Look Ups'!$AC$4-PUSCR)/('Look Ups'!$AC$4-'Look Ups'!$AC$3)*100),0)</f>
        <v>0</v>
      </c>
      <c r="CZ184" s="275">
        <f>IF(PUSCR&lt;'Look Ups'!$AC$4,USCRF*(USCRL1+USCRL2)/4+(USCRMG-USCRF/2)*(USCRL1+USCRL2)/3,0)</f>
        <v>0</v>
      </c>
      <c r="DA184" s="294">
        <f t="shared" si="16"/>
        <v>1</v>
      </c>
      <c r="DB184" s="256">
        <f t="shared" si="17"/>
        <v>27.026199000000002</v>
      </c>
      <c r="DC184" s="256">
        <f t="shared" si="18"/>
        <v>1</v>
      </c>
      <c r="DD184" s="256">
        <f t="shared" si="19"/>
        <v>12.604306000000001</v>
      </c>
      <c r="DE184" s="256">
        <f>IF(AZ184&gt;0,'Look Ups'!$S$3,0)</f>
        <v>1</v>
      </c>
      <c r="DF184" s="256">
        <f t="shared" si="20"/>
        <v>0</v>
      </c>
      <c r="DG184" s="256">
        <f t="shared" si="21"/>
        <v>0</v>
      </c>
      <c r="DH184" s="256">
        <f t="shared" si="22"/>
        <v>0</v>
      </c>
      <c r="DI184" s="280">
        <f t="shared" si="23"/>
        <v>0</v>
      </c>
      <c r="DJ184" s="295" t="str">
        <f t="shared" si="24"/>
        <v>-</v>
      </c>
      <c r="DK184" s="266" t="str">
        <f t="shared" si="25"/>
        <v>valid</v>
      </c>
      <c r="DL184" s="267" t="str">
        <f t="shared" si="26"/>
        <v>MGSP</v>
      </c>
      <c r="DM184" s="294">
        <f t="shared" si="27"/>
        <v>39.630504999999999</v>
      </c>
      <c r="DN184" s="256">
        <f>IF(MSASP&gt;0,'Look Ups'!$AI$4*(ZVAL*MSASP-RSAG),0)</f>
        <v>12.9532282</v>
      </c>
      <c r="DO184" s="256">
        <f>IF(AND(MSASC&gt;0,(MSASC&gt;=0.36*RSAM)),('Look Ups'!$AI$3*(ZVAL*MSASC-RSAG)),(0))</f>
        <v>0</v>
      </c>
      <c r="DP184" s="256">
        <f>IF(MSASP&gt;0,'Look Ups'!$AI$5*(ZVAL*MSASP-RSAG),0)</f>
        <v>12.089679653333334</v>
      </c>
      <c r="DQ184" s="256">
        <f>IF(MSASC&gt;0,'Look Ups'!$AI$6*(MSASC-RSAG),0)</f>
        <v>0</v>
      </c>
      <c r="DR184" s="280">
        <f>'Look Ups'!$AI$7*MAX(IF(MSAUSC&gt;0,EUSC/100*(MSAUSC-RSAG),0),IF(CR184="Yes",ELSC/100*(MSASC-RSAG),0))</f>
        <v>0</v>
      </c>
      <c r="DS184" s="280">
        <f t="shared" si="28"/>
        <v>9.7294316399999996</v>
      </c>
      <c r="DT184" s="296">
        <f t="shared" si="29"/>
        <v>52.583733199999998</v>
      </c>
      <c r="DU184" s="14"/>
    </row>
    <row r="185" spans="1:125" ht="15.6" customHeight="1" x14ac:dyDescent="0.3">
      <c r="A185" s="4"/>
      <c r="B185" s="365"/>
      <c r="C185" s="369" t="s">
        <v>677</v>
      </c>
      <c r="D185" s="370" t="s">
        <v>678</v>
      </c>
      <c r="E185" s="371" t="s">
        <v>679</v>
      </c>
      <c r="F185" s="252">
        <f t="shared" ca="1" si="0"/>
        <v>0.69299999999999995</v>
      </c>
      <c r="G185" s="252" t="str">
        <f ca="1">IF(OR(FLSCR="ERROR",FLSPI="ERROR"),"No",IF(TODAY()-'Look Ups'!$D$4*365&gt;I185,"WP Applied","Yes"))</f>
        <v>WP Applied</v>
      </c>
      <c r="H185" s="253" t="str">
        <f t="shared" si="1"/>
        <v>Main-Genoa-Screacher</v>
      </c>
      <c r="I185" s="1">
        <v>37883</v>
      </c>
      <c r="J185" s="1"/>
      <c r="K185" s="87" t="s">
        <v>218</v>
      </c>
      <c r="L185" s="87" t="s">
        <v>182</v>
      </c>
      <c r="M185" s="207"/>
      <c r="N185" s="88" t="s">
        <v>271</v>
      </c>
      <c r="O185" s="88"/>
      <c r="P185" s="89">
        <v>4.5</v>
      </c>
      <c r="Q185" s="90">
        <v>5.97</v>
      </c>
      <c r="R185" s="87"/>
      <c r="S185" s="256">
        <f t="shared" si="2"/>
        <v>0.14924999999999999</v>
      </c>
      <c r="T185" s="117">
        <v>0.31</v>
      </c>
      <c r="U185" s="117">
        <v>0</v>
      </c>
      <c r="V185" s="258">
        <f t="shared" si="3"/>
        <v>5.66</v>
      </c>
      <c r="W185" s="259">
        <f>IF(RL&gt;0,IF(RL&gt;'Look Ups'!Y$7,'Look Ups'!Y$8,('Look Ups'!Y$3*RL^3+'Look Ups'!Y$4*RL^2+'Look Ups'!Y$5*RL+'Look Ups'!Y$6)),0)</f>
        <v>0.28200376936799998</v>
      </c>
      <c r="X185" s="92">
        <v>855</v>
      </c>
      <c r="Y185" s="263">
        <f ca="1">IF(WDATE&lt;(TODAY()-'Look Ups'!$D$4*365),-WM*'Look Ups'!$D$5/100,0)</f>
        <v>-128.25</v>
      </c>
      <c r="Z185" s="103"/>
      <c r="AA185" s="109"/>
      <c r="AB185" s="109"/>
      <c r="AC185" s="265">
        <f>WCD+NC*'Look Ups'!$AF$3</f>
        <v>0</v>
      </c>
      <c r="AD185" s="265">
        <f ca="1">IF(RL&lt;'Look Ups'!AM$3,'Look Ups'!AM$4,IF(RL&gt;'Look Ups'!AM$5,'Look Ups'!AM$6,(RL-'Look Ups'!AM$3)/('Look Ups'!AM$5-'Look Ups'!AM$3)*('Look Ups'!AM$6-'Look Ups'!AM$4)+'Look Ups'!AM$4))/100*WS</f>
        <v>218.02500000000001</v>
      </c>
      <c r="AE185" s="269">
        <f t="shared" ca="1" si="4"/>
        <v>726.75</v>
      </c>
      <c r="AF185" s="267">
        <f t="shared" ca="1" si="5"/>
        <v>726.75</v>
      </c>
      <c r="AG185" s="94" t="s">
        <v>155</v>
      </c>
      <c r="AH185" s="95" t="s">
        <v>146</v>
      </c>
      <c r="AI185" s="96" t="s">
        <v>147</v>
      </c>
      <c r="AJ185" s="218"/>
      <c r="AK185" s="273">
        <f>IF(C185="",0,VLOOKUP(AG185,'Look Ups'!$F$3:$G$6,2,0)*VLOOKUP(AH185,'Look Ups'!$I$3:$J$5,2,0)*VLOOKUP(AI185,'Look Ups'!$L$3:$M$7,2,0)*IF(AJ185="",1,VLOOKUP(AJ185,'Look Ups'!$O$3:$P$4,2,0)))</f>
        <v>0.99</v>
      </c>
      <c r="AL185" s="83">
        <v>7.45</v>
      </c>
      <c r="AM185" s="91">
        <v>7.18</v>
      </c>
      <c r="AN185" s="91">
        <v>2.36</v>
      </c>
      <c r="AO185" s="91">
        <v>0.85</v>
      </c>
      <c r="AP185" s="91">
        <v>0.45</v>
      </c>
      <c r="AQ185" s="91">
        <v>7.24</v>
      </c>
      <c r="AR185" s="91">
        <v>0.08</v>
      </c>
      <c r="AS185" s="91">
        <v>2.4500000000000002</v>
      </c>
      <c r="AT185" s="91">
        <v>0.01</v>
      </c>
      <c r="AU185" s="91">
        <v>0</v>
      </c>
      <c r="AV185" s="91" t="s">
        <v>148</v>
      </c>
      <c r="AW185" s="97">
        <v>0</v>
      </c>
      <c r="AX185" s="256">
        <f t="shared" si="6"/>
        <v>7.25</v>
      </c>
      <c r="AY185" s="256">
        <f t="shared" si="7"/>
        <v>0</v>
      </c>
      <c r="AZ185" s="275">
        <f>IF(C185="",0,(0.5*(_ML1*LPM)+0.5*(_ML1*HB)+0.66*(P*PR)+0.66*(_ML2*RDM)+0.66*(E*ER))*VLOOKUP(BATT,'Look Ups'!$U$3:$V$4,2,0))</f>
        <v>14.488152000000001</v>
      </c>
      <c r="BA185" s="98"/>
      <c r="BB185" s="99"/>
      <c r="BC185" s="83">
        <v>6.41</v>
      </c>
      <c r="BD185" s="91">
        <v>2.02</v>
      </c>
      <c r="BE185" s="91">
        <v>2.2999999999999998</v>
      </c>
      <c r="BF185" s="91">
        <v>0.05</v>
      </c>
      <c r="BG185" s="91">
        <v>5.68</v>
      </c>
      <c r="BH185" s="91"/>
      <c r="BI185" s="91"/>
      <c r="BJ185" s="91">
        <v>7.0000000000000007E-2</v>
      </c>
      <c r="BK185" s="91">
        <v>0.1</v>
      </c>
      <c r="BL185" s="97"/>
      <c r="BM185" s="275">
        <f t="shared" si="8"/>
        <v>7.2354759999999994</v>
      </c>
      <c r="BN185" s="319"/>
      <c r="BO185" s="320"/>
      <c r="BP185" s="321"/>
      <c r="BQ185" s="321"/>
      <c r="BR185" s="320"/>
      <c r="BS185" s="321"/>
      <c r="BT185" s="321"/>
      <c r="BU185" s="280">
        <f t="shared" si="9"/>
        <v>0</v>
      </c>
      <c r="BV185" s="322"/>
      <c r="BW185" s="320"/>
      <c r="BX185" s="320"/>
      <c r="BY185" s="320"/>
      <c r="BZ185" s="320"/>
      <c r="CA185" s="320"/>
      <c r="CB185" s="320"/>
      <c r="CC185" s="275">
        <f t="shared" si="10"/>
        <v>0</v>
      </c>
      <c r="CD185" s="98"/>
      <c r="CE185" s="91"/>
      <c r="CF185" s="91"/>
      <c r="CG185" s="91"/>
      <c r="CH185" s="266" t="str">
        <f t="shared" si="11"/>
        <v/>
      </c>
      <c r="CI185" s="320"/>
      <c r="CJ185" s="280">
        <f t="shared" si="12"/>
        <v>0</v>
      </c>
      <c r="CK185" s="83">
        <v>6.14</v>
      </c>
      <c r="CL185" s="91">
        <v>9.0299999999999994</v>
      </c>
      <c r="CM185" s="91">
        <v>7.35</v>
      </c>
      <c r="CN185" s="91">
        <v>4.45</v>
      </c>
      <c r="CO185" s="256">
        <f t="shared" si="13"/>
        <v>72.475570032573302</v>
      </c>
      <c r="CP185" s="320"/>
      <c r="CQ185" s="256">
        <f t="shared" si="14"/>
        <v>32.678100000000001</v>
      </c>
      <c r="CR185" s="256" t="str">
        <f>IF(CO185&lt;'Look Ups'!$AC$4,"Yes","No")</f>
        <v>No</v>
      </c>
      <c r="CS185" s="293">
        <f>IF(CR185="Yes",MIN(150,('Look Ups'!$AC$4-PSCR)/('Look Ups'!$AC$4-'Look Ups'!$AC$3)*100),0)</f>
        <v>0</v>
      </c>
      <c r="CT185" s="83"/>
      <c r="CU185" s="91"/>
      <c r="CV185" s="91"/>
      <c r="CW185" s="91"/>
      <c r="CX185" s="256" t="str">
        <f t="shared" si="15"/>
        <v/>
      </c>
      <c r="CY185" s="293">
        <f>IF(PUSCR&lt;'Look Ups'!$AC$4,MIN(150,('Look Ups'!$AC$4-PUSCR)/('Look Ups'!$AC$4-'Look Ups'!$AC$3)*100),0)</f>
        <v>0</v>
      </c>
      <c r="CZ185" s="275">
        <f>IF(PUSCR&lt;'Look Ups'!$AC$4,USCRF*(USCRL1+USCRL2)/4+(USCRMG-USCRF/2)*(USCRL1+USCRL2)/3,0)</f>
        <v>0</v>
      </c>
      <c r="DA185" s="294">
        <f t="shared" si="16"/>
        <v>1</v>
      </c>
      <c r="DB185" s="256">
        <f t="shared" si="17"/>
        <v>14.488152000000001</v>
      </c>
      <c r="DC185" s="256">
        <f t="shared" si="18"/>
        <v>1</v>
      </c>
      <c r="DD185" s="256">
        <f t="shared" si="19"/>
        <v>7.2354759999999994</v>
      </c>
      <c r="DE185" s="256">
        <f>IF(AZ185&gt;0,'Look Ups'!$S$3,0)</f>
        <v>1</v>
      </c>
      <c r="DF185" s="256">
        <f t="shared" si="20"/>
        <v>0</v>
      </c>
      <c r="DG185" s="256">
        <f t="shared" si="21"/>
        <v>0</v>
      </c>
      <c r="DH185" s="256">
        <f t="shared" si="22"/>
        <v>0</v>
      </c>
      <c r="DI185" s="280">
        <f t="shared" si="23"/>
        <v>0</v>
      </c>
      <c r="DJ185" s="295" t="str">
        <f t="shared" si="24"/>
        <v>valid</v>
      </c>
      <c r="DK185" s="266" t="str">
        <f t="shared" si="25"/>
        <v>-</v>
      </c>
      <c r="DL185" s="267" t="str">
        <f t="shared" si="26"/>
        <v>MGScr</v>
      </c>
      <c r="DM185" s="294">
        <f t="shared" si="27"/>
        <v>21.723628000000001</v>
      </c>
      <c r="DN185" s="256">
        <f>IF(MSASP&gt;0,'Look Ups'!$AI$4*(ZVAL*MSASP-RSAG),0)</f>
        <v>0</v>
      </c>
      <c r="DO185" s="256">
        <f>IF(AND(MSASC&gt;0,(MSASC&gt;=0.36*RSAM)),('Look Ups'!$AI$3*(ZVAL*MSASC-RSAG)),(0))</f>
        <v>8.9049183999999997</v>
      </c>
      <c r="DP185" s="256">
        <f>IF(MSASP&gt;0,'Look Ups'!$AI$5*(ZVAL*MSASP-RSAG),0)</f>
        <v>0</v>
      </c>
      <c r="DQ185" s="256">
        <f>IF(MSASC&gt;0,'Look Ups'!$AI$6*(MSASC-RSAG),0)</f>
        <v>1.7809836800000003</v>
      </c>
      <c r="DR185" s="280">
        <f>'Look Ups'!$AI$7*MAX(IF(MSAUSC&gt;0,EUSC/100*(MSAUSC-RSAG),0),IF(CR185="Yes",ELSC/100*(MSASC-RSAG),0))</f>
        <v>0</v>
      </c>
      <c r="DS185" s="280">
        <f t="shared" si="28"/>
        <v>5.2157347200000004</v>
      </c>
      <c r="DT185" s="296">
        <f t="shared" si="29"/>
        <v>30.628546400000001</v>
      </c>
      <c r="DU185" s="14"/>
    </row>
    <row r="186" spans="1:125" ht="15.6" customHeight="1" x14ac:dyDescent="0.3">
      <c r="A186" s="4"/>
      <c r="B186" s="365"/>
      <c r="C186" s="369" t="s">
        <v>680</v>
      </c>
      <c r="D186" s="370" t="s">
        <v>681</v>
      </c>
      <c r="E186" s="371" t="s">
        <v>682</v>
      </c>
      <c r="F186" s="252">
        <f t="shared" ca="1" si="0"/>
        <v>0.751</v>
      </c>
      <c r="G186" s="252" t="str">
        <f ca="1">IF(OR(FLSCR="ERROR",FLSPI="ERROR"),"No",IF(TODAY()-'Look Ups'!$D$4*365&gt;I186,"WP Applied","Yes"))</f>
        <v>WP Applied</v>
      </c>
      <c r="H186" s="253" t="str">
        <f t="shared" si="1"/>
        <v>Main-Genoa-Screacher</v>
      </c>
      <c r="I186" s="1">
        <v>36617</v>
      </c>
      <c r="J186" s="1"/>
      <c r="K186" s="87" t="s">
        <v>683</v>
      </c>
      <c r="L186" s="87" t="s">
        <v>186</v>
      </c>
      <c r="M186" s="207"/>
      <c r="N186" s="88" t="s">
        <v>165</v>
      </c>
      <c r="O186" s="88"/>
      <c r="P186" s="89">
        <v>6.5</v>
      </c>
      <c r="Q186" s="90">
        <v>10.06</v>
      </c>
      <c r="R186" s="87"/>
      <c r="S186" s="256">
        <f t="shared" si="2"/>
        <v>0.2515</v>
      </c>
      <c r="T186" s="117">
        <v>0.1</v>
      </c>
      <c r="U186" s="117">
        <v>0</v>
      </c>
      <c r="V186" s="258">
        <f t="shared" si="3"/>
        <v>9.9600000000000009</v>
      </c>
      <c r="W186" s="259">
        <f>IF(RL&gt;0,IF(RL&gt;'Look Ups'!Y$7,'Look Ups'!Y$8,('Look Ups'!Y$3*RL^3+'Look Ups'!Y$4*RL^2+'Look Ups'!Y$5*RL+'Look Ups'!Y$6)),0)</f>
        <v>0.29844334188800004</v>
      </c>
      <c r="X186" s="92">
        <v>3885</v>
      </c>
      <c r="Y186" s="263">
        <f ca="1">IF(WDATE&lt;(TODAY()-'Look Ups'!$D$4*365),-WM*'Look Ups'!$D$5/100,0)</f>
        <v>-582.75</v>
      </c>
      <c r="Z186" s="103"/>
      <c r="AA186" s="109"/>
      <c r="AB186" s="109"/>
      <c r="AC186" s="265">
        <f>WCD+NC*'Look Ups'!$AF$3</f>
        <v>0</v>
      </c>
      <c r="AD186" s="265">
        <f ca="1">IF(RL&lt;'Look Ups'!AM$3,'Look Ups'!AM$4,IF(RL&gt;'Look Ups'!AM$5,'Look Ups'!AM$6,(RL-'Look Ups'!AM$3)/('Look Ups'!AM$5-'Look Ups'!AM$3)*('Look Ups'!AM$6-'Look Ups'!AM$4)+'Look Ups'!AM$4))/100*WS</f>
        <v>599.20827272727263</v>
      </c>
      <c r="AE186" s="269">
        <f t="shared" ca="1" si="4"/>
        <v>3302.25</v>
      </c>
      <c r="AF186" s="267">
        <f t="shared" ca="1" si="5"/>
        <v>3302.25</v>
      </c>
      <c r="AG186" s="94" t="s">
        <v>145</v>
      </c>
      <c r="AH186" s="95" t="s">
        <v>146</v>
      </c>
      <c r="AI186" s="96" t="s">
        <v>147</v>
      </c>
      <c r="AJ186" s="218"/>
      <c r="AK186" s="273">
        <f>IF(C186="",0,VLOOKUP(AG186,'Look Ups'!$F$3:$G$6,2,0)*VLOOKUP(AH186,'Look Ups'!$I$3:$J$5,2,0)*VLOOKUP(AI186,'Look Ups'!$L$3:$M$7,2,0)*IF(AJ186="",1,VLOOKUP(AJ186,'Look Ups'!$O$3:$P$4,2,0)))</f>
        <v>1</v>
      </c>
      <c r="AL186" s="83">
        <v>12.1</v>
      </c>
      <c r="AM186" s="91">
        <v>12.08</v>
      </c>
      <c r="AN186" s="91">
        <v>4</v>
      </c>
      <c r="AO186" s="91">
        <v>0.14000000000000001</v>
      </c>
      <c r="AP186" s="91">
        <v>0.51</v>
      </c>
      <c r="AQ186" s="91">
        <v>12</v>
      </c>
      <c r="AR186" s="91">
        <v>0.1</v>
      </c>
      <c r="AS186" s="91">
        <v>4.18</v>
      </c>
      <c r="AT186" s="91">
        <v>7.0000000000000007E-2</v>
      </c>
      <c r="AU186" s="91">
        <v>0</v>
      </c>
      <c r="AV186" s="91" t="s">
        <v>148</v>
      </c>
      <c r="AW186" s="97">
        <v>0</v>
      </c>
      <c r="AX186" s="256">
        <f t="shared" si="6"/>
        <v>12.07</v>
      </c>
      <c r="AY186" s="256">
        <f t="shared" si="7"/>
        <v>0</v>
      </c>
      <c r="AZ186" s="275">
        <f>IF(C186="",0,(0.5*(_ML1*LPM)+0.5*(_ML1*HB)+0.66*(P*PR)+0.66*(_ML2*RDM)+0.66*(E*ER))*VLOOKUP(BATT,'Look Ups'!$U$3:$V$4,2,0))</f>
        <v>30.098244000000001</v>
      </c>
      <c r="BA186" s="98"/>
      <c r="BB186" s="99"/>
      <c r="BC186" s="83">
        <v>13.4</v>
      </c>
      <c r="BD186" s="91">
        <v>5.72</v>
      </c>
      <c r="BE186" s="91">
        <v>5.83</v>
      </c>
      <c r="BF186" s="91">
        <v>0.17</v>
      </c>
      <c r="BG186" s="91">
        <v>12.35</v>
      </c>
      <c r="BH186" s="91"/>
      <c r="BI186" s="91"/>
      <c r="BJ186" s="91">
        <v>-0.12</v>
      </c>
      <c r="BK186" s="91">
        <v>-0.43</v>
      </c>
      <c r="BL186" s="97"/>
      <c r="BM186" s="275">
        <f t="shared" si="8"/>
        <v>34.197085999999999</v>
      </c>
      <c r="BN186" s="319"/>
      <c r="BO186" s="320"/>
      <c r="BP186" s="321"/>
      <c r="BQ186" s="321"/>
      <c r="BR186" s="320"/>
      <c r="BS186" s="321"/>
      <c r="BT186" s="321"/>
      <c r="BU186" s="280">
        <f t="shared" si="9"/>
        <v>0</v>
      </c>
      <c r="BV186" s="322"/>
      <c r="BW186" s="320"/>
      <c r="BX186" s="320"/>
      <c r="BY186" s="320"/>
      <c r="BZ186" s="320"/>
      <c r="CA186" s="320"/>
      <c r="CB186" s="320"/>
      <c r="CC186" s="275">
        <f t="shared" si="10"/>
        <v>0</v>
      </c>
      <c r="CD186" s="98"/>
      <c r="CE186" s="91"/>
      <c r="CF186" s="91"/>
      <c r="CG186" s="91"/>
      <c r="CH186" s="266" t="str">
        <f t="shared" si="11"/>
        <v/>
      </c>
      <c r="CI186" s="320"/>
      <c r="CJ186" s="280">
        <f t="shared" si="12"/>
        <v>0</v>
      </c>
      <c r="CK186" s="83">
        <v>8.2799999999999994</v>
      </c>
      <c r="CL186" s="91">
        <v>12.7</v>
      </c>
      <c r="CM186" s="91">
        <v>12.5</v>
      </c>
      <c r="CN186" s="91">
        <v>6.07</v>
      </c>
      <c r="CO186" s="256">
        <f t="shared" si="13"/>
        <v>73.309178743961354</v>
      </c>
      <c r="CP186" s="320"/>
      <c r="CQ186" s="256">
        <f t="shared" si="14"/>
        <v>68.376000000000005</v>
      </c>
      <c r="CR186" s="256" t="str">
        <f>IF(CO186&lt;'Look Ups'!$AC$4,"Yes","No")</f>
        <v>No</v>
      </c>
      <c r="CS186" s="293">
        <f>IF(CR186="Yes",MIN(150,('Look Ups'!$AC$4-PSCR)/('Look Ups'!$AC$4-'Look Ups'!$AC$3)*100),0)</f>
        <v>0</v>
      </c>
      <c r="CT186" s="83"/>
      <c r="CU186" s="91"/>
      <c r="CV186" s="91"/>
      <c r="CW186" s="91"/>
      <c r="CX186" s="256" t="str">
        <f t="shared" si="15"/>
        <v/>
      </c>
      <c r="CY186" s="293">
        <f>IF(PUSCR&lt;'Look Ups'!$AC$4,MIN(150,('Look Ups'!$AC$4-PUSCR)/('Look Ups'!$AC$4-'Look Ups'!$AC$3)*100),0)</f>
        <v>0</v>
      </c>
      <c r="CZ186" s="275">
        <f>IF(PUSCR&lt;'Look Ups'!$AC$4,USCRF*(USCRL1+USCRL2)/4+(USCRMG-USCRF/2)*(USCRL1+USCRL2)/3,0)</f>
        <v>0</v>
      </c>
      <c r="DA186" s="294">
        <f t="shared" si="16"/>
        <v>1</v>
      </c>
      <c r="DB186" s="256">
        <f t="shared" si="17"/>
        <v>30.098244000000001</v>
      </c>
      <c r="DC186" s="256">
        <f t="shared" si="18"/>
        <v>1</v>
      </c>
      <c r="DD186" s="256">
        <f t="shared" si="19"/>
        <v>34.197085999999999</v>
      </c>
      <c r="DE186" s="256">
        <f>IF(AZ186&gt;0,'Look Ups'!$S$3,0)</f>
        <v>1</v>
      </c>
      <c r="DF186" s="256">
        <f t="shared" si="20"/>
        <v>0</v>
      </c>
      <c r="DG186" s="256">
        <f t="shared" si="21"/>
        <v>0</v>
      </c>
      <c r="DH186" s="256">
        <f t="shared" si="22"/>
        <v>0</v>
      </c>
      <c r="DI186" s="280">
        <f t="shared" si="23"/>
        <v>0</v>
      </c>
      <c r="DJ186" s="295" t="str">
        <f t="shared" si="24"/>
        <v>valid</v>
      </c>
      <c r="DK186" s="266" t="str">
        <f t="shared" si="25"/>
        <v>-</v>
      </c>
      <c r="DL186" s="267" t="str">
        <f t="shared" si="26"/>
        <v>MGScr</v>
      </c>
      <c r="DM186" s="294">
        <f t="shared" si="27"/>
        <v>64.295330000000007</v>
      </c>
      <c r="DN186" s="256">
        <f>IF(MSASP&gt;0,'Look Ups'!$AI$4*(ZVAL*MSASP-RSAG),0)</f>
        <v>0</v>
      </c>
      <c r="DO186" s="256">
        <f>IF(AND(MSASC&gt;0,(MSASC&gt;=0.36*RSAM)),('Look Ups'!$AI$3*(ZVAL*MSASC-RSAG)),(0))</f>
        <v>11.962619900000002</v>
      </c>
      <c r="DP186" s="256">
        <f>IF(MSASP&gt;0,'Look Ups'!$AI$5*(ZVAL*MSASP-RSAG),0)</f>
        <v>0</v>
      </c>
      <c r="DQ186" s="256">
        <f>IF(MSASC&gt;0,'Look Ups'!$AI$6*(MSASC-RSAG),0)</f>
        <v>2.3925239800000004</v>
      </c>
      <c r="DR186" s="280">
        <f>'Look Ups'!$AI$7*MAX(IF(MSAUSC&gt;0,EUSC/100*(MSAUSC-RSAG),0),IF(CR186="Yes",ELSC/100*(MSASC-RSAG),0))</f>
        <v>0</v>
      </c>
      <c r="DS186" s="280">
        <f t="shared" si="28"/>
        <v>10.83536784</v>
      </c>
      <c r="DT186" s="296">
        <f t="shared" si="29"/>
        <v>76.257949900000014</v>
      </c>
      <c r="DU186" s="14"/>
    </row>
    <row r="187" spans="1:125" ht="15.6" customHeight="1" x14ac:dyDescent="0.3">
      <c r="A187" s="4"/>
      <c r="B187" s="365"/>
      <c r="C187" s="369" t="s">
        <v>684</v>
      </c>
      <c r="D187" s="370" t="s">
        <v>413</v>
      </c>
      <c r="E187" s="371" t="s">
        <v>685</v>
      </c>
      <c r="F187" s="252">
        <f t="shared" ca="1" si="0"/>
        <v>0.89900000000000002</v>
      </c>
      <c r="G187" s="252" t="str">
        <f ca="1">IF(OR(FLSCR="ERROR",FLSPI="ERROR"),"No",IF(TODAY()-'Look Ups'!$D$4*365&gt;I187,"WP Applied","Yes"))</f>
        <v>WP Applied</v>
      </c>
      <c r="H187" s="253" t="str">
        <f t="shared" si="1"/>
        <v>Main-Genoa-Screacher (Upwind)-Spinnaker</v>
      </c>
      <c r="I187" s="1">
        <v>38423</v>
      </c>
      <c r="J187" s="1">
        <v>41021</v>
      </c>
      <c r="K187" s="87" t="s">
        <v>686</v>
      </c>
      <c r="L187" s="87" t="s">
        <v>159</v>
      </c>
      <c r="M187" s="207"/>
      <c r="N187" s="88" t="s">
        <v>143</v>
      </c>
      <c r="O187" s="88" t="s">
        <v>154</v>
      </c>
      <c r="P187" s="89"/>
      <c r="Q187" s="90">
        <v>7.34</v>
      </c>
      <c r="R187" s="87"/>
      <c r="S187" s="256">
        <f t="shared" si="2"/>
        <v>0.1835</v>
      </c>
      <c r="T187" s="117">
        <v>0.17</v>
      </c>
      <c r="U187" s="117">
        <v>0</v>
      </c>
      <c r="V187" s="258">
        <f t="shared" si="3"/>
        <v>7.17</v>
      </c>
      <c r="W187" s="259">
        <f>IF(RL&gt;0,IF(RL&gt;'Look Ups'!Y$7,'Look Ups'!Y$8,('Look Ups'!Y$3*RL^3+'Look Ups'!Y$4*RL^2+'Look Ups'!Y$5*RL+'Look Ups'!Y$6)),0)</f>
        <v>0.29050639982900006</v>
      </c>
      <c r="X187" s="92">
        <v>955</v>
      </c>
      <c r="Y187" s="263">
        <f ca="1">IF(WDATE&lt;(TODAY()-'Look Ups'!$D$4*365),-WM*'Look Ups'!$D$5/100,0)</f>
        <v>-143.25</v>
      </c>
      <c r="Z187" s="103"/>
      <c r="AA187" s="109"/>
      <c r="AB187" s="109"/>
      <c r="AC187" s="265">
        <f>WCD+NC*'Look Ups'!$AF$3</f>
        <v>0</v>
      </c>
      <c r="AD187" s="265">
        <f ca="1">IF(RL&lt;'Look Ups'!AM$3,'Look Ups'!AM$4,IF(RL&gt;'Look Ups'!AM$5,'Look Ups'!AM$6,(RL-'Look Ups'!AM$3)/('Look Ups'!AM$5-'Look Ups'!AM$3)*('Look Ups'!AM$6-'Look Ups'!AM$4)+'Look Ups'!AM$4))/100*WS</f>
        <v>229.65145454545458</v>
      </c>
      <c r="AE187" s="269">
        <f t="shared" ca="1" si="4"/>
        <v>811.75</v>
      </c>
      <c r="AF187" s="267">
        <f t="shared" ca="1" si="5"/>
        <v>811.75</v>
      </c>
      <c r="AG187" s="94" t="s">
        <v>145</v>
      </c>
      <c r="AH187" s="95" t="s">
        <v>146</v>
      </c>
      <c r="AI187" s="96" t="s">
        <v>147</v>
      </c>
      <c r="AJ187" s="218"/>
      <c r="AK187" s="273">
        <f>IF(C187="",0,VLOOKUP(AG187,'Look Ups'!$F$3:$G$6,2,0)*VLOOKUP(AH187,'Look Ups'!$I$3:$J$5,2,0)*VLOOKUP(AI187,'Look Ups'!$L$3:$M$7,2,0)*IF(AJ187="",1,VLOOKUP(AJ187,'Look Ups'!$O$3:$P$4,2,0)))</f>
        <v>1</v>
      </c>
      <c r="AL187" s="83">
        <v>9.43</v>
      </c>
      <c r="AM187" s="91">
        <v>9.16</v>
      </c>
      <c r="AN187" s="91">
        <v>3.1</v>
      </c>
      <c r="AO187" s="91">
        <v>1.4</v>
      </c>
      <c r="AP187" s="91">
        <v>0.17500000000000002</v>
      </c>
      <c r="AQ187" s="91">
        <v>8.9700000000000006</v>
      </c>
      <c r="AR187" s="91">
        <v>0.105</v>
      </c>
      <c r="AS187" s="91">
        <v>3.28</v>
      </c>
      <c r="AT187" s="91">
        <v>9.0000000000000011E-3</v>
      </c>
      <c r="AU187" s="91">
        <v>0.4</v>
      </c>
      <c r="AV187" s="91" t="s">
        <v>148</v>
      </c>
      <c r="AW187" s="97">
        <v>3</v>
      </c>
      <c r="AX187" s="256">
        <f t="shared" si="6"/>
        <v>8.979000000000001</v>
      </c>
      <c r="AY187" s="256">
        <f t="shared" si="7"/>
        <v>1.3455000000000004</v>
      </c>
      <c r="AZ187" s="275">
        <f>IF(C187="",0,(0.5*(_ML1*LPM)+0.5*(_ML1*HB)+0.66*(P*PR)+0.66*(_ML2*RDM)+0.66*(E*ER))*VLOOKUP(BATT,'Look Ups'!$U$3:$V$4,2,0))</f>
        <v>22.916584200000003</v>
      </c>
      <c r="BA187" s="98"/>
      <c r="BB187" s="99"/>
      <c r="BC187" s="83">
        <v>7.65</v>
      </c>
      <c r="BD187" s="91">
        <v>3</v>
      </c>
      <c r="BE187" s="91">
        <v>3.42</v>
      </c>
      <c r="BF187" s="91">
        <v>0.17500000000000002</v>
      </c>
      <c r="BG187" s="91">
        <v>6.79</v>
      </c>
      <c r="BH187" s="91"/>
      <c r="BI187" s="91"/>
      <c r="BJ187" s="91">
        <v>0.2</v>
      </c>
      <c r="BK187" s="91">
        <v>6.5000000000000002E-2</v>
      </c>
      <c r="BL187" s="97" t="s">
        <v>687</v>
      </c>
      <c r="BM187" s="275">
        <f t="shared" si="8"/>
        <v>13.094474999999999</v>
      </c>
      <c r="BN187" s="319"/>
      <c r="BO187" s="320"/>
      <c r="BP187" s="321"/>
      <c r="BQ187" s="321"/>
      <c r="BR187" s="320"/>
      <c r="BS187" s="321"/>
      <c r="BT187" s="321"/>
      <c r="BU187" s="280">
        <f t="shared" si="9"/>
        <v>0</v>
      </c>
      <c r="BV187" s="322"/>
      <c r="BW187" s="320"/>
      <c r="BX187" s="320"/>
      <c r="BY187" s="320"/>
      <c r="BZ187" s="320"/>
      <c r="CA187" s="320"/>
      <c r="CB187" s="320"/>
      <c r="CC187" s="275">
        <f t="shared" si="10"/>
        <v>0</v>
      </c>
      <c r="CD187" s="98">
        <v>6.76</v>
      </c>
      <c r="CE187" s="91">
        <v>11.46</v>
      </c>
      <c r="CF187" s="91">
        <v>10.4</v>
      </c>
      <c r="CG187" s="91">
        <v>5.97</v>
      </c>
      <c r="CH187" s="266">
        <f t="shared" si="11"/>
        <v>88.31360946745562</v>
      </c>
      <c r="CI187" s="320"/>
      <c r="CJ187" s="280">
        <f t="shared" si="12"/>
        <v>55.815866666666665</v>
      </c>
      <c r="CK187" s="83">
        <v>5.2450000000000001</v>
      </c>
      <c r="CL187" s="91">
        <v>9.1999999999999993</v>
      </c>
      <c r="CM187" s="91">
        <v>8.1</v>
      </c>
      <c r="CN187" s="91">
        <v>2.65</v>
      </c>
      <c r="CO187" s="256">
        <f t="shared" si="13"/>
        <v>50.524308865586264</v>
      </c>
      <c r="CP187" s="320"/>
      <c r="CQ187" s="256">
        <f t="shared" si="14"/>
        <v>22.84320833333333</v>
      </c>
      <c r="CR187" s="256" t="str">
        <f>IF(CO187&lt;'Look Ups'!$AC$4,"Yes","No")</f>
        <v>Yes</v>
      </c>
      <c r="CS187" s="293">
        <f>IF(CR187="Yes",MIN(150,('Look Ups'!$AC$4-PSCR)/('Look Ups'!$AC$4-'Look Ups'!$AC$3)*100),0)</f>
        <v>29.513822688274725</v>
      </c>
      <c r="CT187" s="83"/>
      <c r="CU187" s="91"/>
      <c r="CV187" s="91"/>
      <c r="CW187" s="91"/>
      <c r="CX187" s="256" t="str">
        <f t="shared" si="15"/>
        <v/>
      </c>
      <c r="CY187" s="293">
        <f>IF(PUSCR&lt;'Look Ups'!$AC$4,MIN(150,('Look Ups'!$AC$4-PUSCR)/('Look Ups'!$AC$4-'Look Ups'!$AC$3)*100),0)</f>
        <v>0</v>
      </c>
      <c r="CZ187" s="275">
        <f>IF(PUSCR&lt;'Look Ups'!$AC$4,USCRF*(USCRL1+USCRL2)/4+(USCRMG-USCRF/2)*(USCRL1+USCRL2)/3,0)</f>
        <v>0</v>
      </c>
      <c r="DA187" s="294">
        <f t="shared" si="16"/>
        <v>1</v>
      </c>
      <c r="DB187" s="256">
        <f t="shared" si="17"/>
        <v>24.262084200000004</v>
      </c>
      <c r="DC187" s="256">
        <f t="shared" si="18"/>
        <v>1</v>
      </c>
      <c r="DD187" s="256">
        <f t="shared" si="19"/>
        <v>13.094474999999999</v>
      </c>
      <c r="DE187" s="256">
        <f>IF(AZ187&gt;0,'Look Ups'!$S$3,0)</f>
        <v>1</v>
      </c>
      <c r="DF187" s="256">
        <f t="shared" si="20"/>
        <v>0</v>
      </c>
      <c r="DG187" s="256">
        <f t="shared" si="21"/>
        <v>0</v>
      </c>
      <c r="DH187" s="256">
        <f t="shared" si="22"/>
        <v>0</v>
      </c>
      <c r="DI187" s="280">
        <f t="shared" si="23"/>
        <v>0</v>
      </c>
      <c r="DJ187" s="295" t="str">
        <f t="shared" si="24"/>
        <v>valid</v>
      </c>
      <c r="DK187" s="266" t="str">
        <f t="shared" si="25"/>
        <v>valid</v>
      </c>
      <c r="DL187" s="267" t="str">
        <f t="shared" si="26"/>
        <v>MGScrSP</v>
      </c>
      <c r="DM187" s="294">
        <f t="shared" si="27"/>
        <v>37.356559200000007</v>
      </c>
      <c r="DN187" s="256">
        <f>IF(MSASP&gt;0,'Look Ups'!$AI$4*(ZVAL*MSASP-RSAG),0)</f>
        <v>12.816417499999998</v>
      </c>
      <c r="DO187" s="256">
        <f>IF(AND(MSASC&gt;0,(MSASC&gt;=0.36*RSAM)),('Look Ups'!$AI$3*(ZVAL*MSASC-RSAG)),(0))</f>
        <v>3.4120566666666656</v>
      </c>
      <c r="DP187" s="256">
        <f>IF(MSASP&gt;0,'Look Ups'!$AI$5*(ZVAL*MSASP-RSAG),0)</f>
        <v>11.961989666666666</v>
      </c>
      <c r="DQ187" s="256">
        <f>IF(MSASC&gt;0,'Look Ups'!$AI$6*(MSASC-RSAG),0)</f>
        <v>0.68241133333333315</v>
      </c>
      <c r="DR187" s="280">
        <f>'Look Ups'!$AI$7*MAX(IF(MSAUSC&gt;0,EUSC/100*(MSAUSC-RSAG),0),IF(CR187="Yes",ELSC/100*(MSASC-RSAG),0))</f>
        <v>0.71930596758818333</v>
      </c>
      <c r="DS187" s="280">
        <f t="shared" si="28"/>
        <v>8.7343503120000019</v>
      </c>
      <c r="DT187" s="296">
        <f t="shared" si="29"/>
        <v>50.720266167588193</v>
      </c>
      <c r="DU187" s="14"/>
    </row>
    <row r="188" spans="1:125" ht="15.6" customHeight="1" x14ac:dyDescent="0.3">
      <c r="A188" s="4"/>
      <c r="B188" s="365"/>
      <c r="C188" s="369" t="s">
        <v>688</v>
      </c>
      <c r="D188" s="370"/>
      <c r="E188" s="371" t="s">
        <v>689</v>
      </c>
      <c r="F188" s="252">
        <f t="shared" ref="F188:F219" ca="1" si="30">IF(RW=0,0,ROUND(DLF*0.93*RL^LF*RSA^0.4/RW^0.325,3))</f>
        <v>0.95899999999999996</v>
      </c>
      <c r="G188" s="252" t="str">
        <f ca="1">IF(OR(FLSCR="ERROR",FLSPI="ERROR"),"No",IF(TODAY()-'Look Ups'!$D$4*365&gt;I188,"WP Applied","Yes"))</f>
        <v>WP Applied</v>
      </c>
      <c r="H188" s="253" t="str">
        <f t="shared" ref="H188:H219" si="31">IF(SPC="","",CONCATENATE("Main-Genoa",IF(FLSCR="valid",IF(OR(CR188="Yes",MSAUSC&gt;0),"-Screacher (Upwind)","-Screacher"),""),IF(FLSPI="valid","-Spinnaker",""),IF(RSAMZ&gt;0,"-Mizzen",""),IF(RSA2M&gt;0,"-Second Main",""),IF(AS&gt;0,"-Staysail",""),IF(AD&gt;0,"-Drifter","")))</f>
        <v>Main-Genoa-Spinnaker</v>
      </c>
      <c r="I188" s="1">
        <v>36933</v>
      </c>
      <c r="J188" s="1"/>
      <c r="K188" s="87" t="s">
        <v>664</v>
      </c>
      <c r="L188" s="87" t="s">
        <v>664</v>
      </c>
      <c r="M188" s="207"/>
      <c r="N188" s="88" t="s">
        <v>165</v>
      </c>
      <c r="O188" s="88"/>
      <c r="P188" s="89"/>
      <c r="Q188" s="90">
        <v>7.61</v>
      </c>
      <c r="R188" s="87"/>
      <c r="S188" s="256">
        <f t="shared" ref="S188:S219" si="32">IF((LOAA&gt;LOA),0.025*LOAA,0.025*LOA)</f>
        <v>0.19025000000000003</v>
      </c>
      <c r="T188" s="117">
        <v>7.0000000000000007E-2</v>
      </c>
      <c r="U188" s="117">
        <v>0</v>
      </c>
      <c r="V188" s="258">
        <f t="shared" ref="V188:V219" si="33">IF((_xlfn.SINGLE(LOAA)&gt;_xlfn.SINGLE(LOA)),_xlfn.SINGLE(LOAA),_xlfn.SINGLE(LOA)-_xlfn.SINGLE(FOC)-_xlfn.SINGLE(AOC))</f>
        <v>7.54</v>
      </c>
      <c r="W188" s="259">
        <f>IF(RL&gt;0,IF(RL&gt;'Look Ups'!Y$7,'Look Ups'!Y$8,('Look Ups'!Y$3*RL^3+'Look Ups'!Y$4*RL^2+'Look Ups'!Y$5*RL+'Look Ups'!Y$6)),0)</f>
        <v>0.292083575112</v>
      </c>
      <c r="X188" s="92">
        <v>805</v>
      </c>
      <c r="Y188" s="263">
        <f ca="1">IF(WDATE&lt;(TODAY()-'Look Ups'!$D$4*365),-WM*'Look Ups'!$D$5/100,0)</f>
        <v>-120.75</v>
      </c>
      <c r="Z188" s="103"/>
      <c r="AA188" s="109"/>
      <c r="AB188" s="109"/>
      <c r="AC188" s="265">
        <f>WCD+NC*'Look Ups'!$AF$3</f>
        <v>0</v>
      </c>
      <c r="AD188" s="265">
        <f ca="1">IF(RL&lt;'Look Ups'!AM$3,'Look Ups'!AM$4,IF(RL&gt;'Look Ups'!AM$5,'Look Ups'!AM$6,(RL-'Look Ups'!AM$3)/('Look Ups'!AM$5-'Look Ups'!AM$3)*('Look Ups'!AM$6-'Look Ups'!AM$4)+'Look Ups'!AM$4))/100*WS</f>
        <v>184.37427272727271</v>
      </c>
      <c r="AE188" s="269">
        <f t="shared" ref="AE188:AE219" ca="1" si="34">WM+WP+WE</f>
        <v>684.25</v>
      </c>
      <c r="AF188" s="267">
        <f t="shared" ref="AF188:AF219" ca="1" si="35">_xlfn.SINGLE(WS)+IF(_xlfn.SINGLE(TCW)&gt;=_xlfn.SINGLE(CWA),_xlfn.SINGLE(CWA),_xlfn.SINGLE(TCW))</f>
        <v>684.25</v>
      </c>
      <c r="AG188" s="94" t="s">
        <v>145</v>
      </c>
      <c r="AH188" s="95" t="s">
        <v>146</v>
      </c>
      <c r="AI188" s="96" t="s">
        <v>147</v>
      </c>
      <c r="AJ188" s="218"/>
      <c r="AK188" s="273">
        <f>IF(C188="",0,VLOOKUP(AG188,'Look Ups'!$F$3:$G$6,2,0)*VLOOKUP(AH188,'Look Ups'!$I$3:$J$5,2,0)*VLOOKUP(AI188,'Look Ups'!$L$3:$M$7,2,0)*IF(AJ188="",1,VLOOKUP(AJ188,'Look Ups'!$O$3:$P$4,2,0)))</f>
        <v>1</v>
      </c>
      <c r="AL188" s="83">
        <v>9.1999999999999993</v>
      </c>
      <c r="AM188" s="91">
        <v>9.0500000000000007</v>
      </c>
      <c r="AN188" s="91">
        <v>2.84</v>
      </c>
      <c r="AO188" s="91">
        <v>0.60000000000000009</v>
      </c>
      <c r="AP188" s="91">
        <v>0.71</v>
      </c>
      <c r="AQ188" s="91">
        <v>9.41</v>
      </c>
      <c r="AR188" s="91">
        <v>0.05</v>
      </c>
      <c r="AS188" s="91">
        <v>2.85</v>
      </c>
      <c r="AT188" s="91">
        <v>0.01</v>
      </c>
      <c r="AU188" s="91">
        <v>0.61</v>
      </c>
      <c r="AV188" s="91" t="s">
        <v>148</v>
      </c>
      <c r="AW188" s="97">
        <v>0</v>
      </c>
      <c r="AX188" s="256">
        <f t="shared" ref="AX188:AX219" si="36">P+ER</f>
        <v>9.42</v>
      </c>
      <c r="AY188" s="256">
        <f t="shared" ref="AY188:AY219" si="37">P*0.375*MC</f>
        <v>2.1525374999999998</v>
      </c>
      <c r="AZ188" s="275">
        <f>IF(C188="",0,(0.5*(_ML1*LPM)+0.5*(_ML1*HB)+0.66*(P*PR)+0.66*(_ML2*RDM)+0.66*(E*ER))*VLOOKUP(BATT,'Look Ups'!$U$3:$V$4,2,0))</f>
        <v>20.394169999999999</v>
      </c>
      <c r="BA188" s="98"/>
      <c r="BB188" s="99"/>
      <c r="BC188" s="83">
        <v>7.44</v>
      </c>
      <c r="BD188" s="91">
        <v>2.95</v>
      </c>
      <c r="BE188" s="91">
        <v>3.15</v>
      </c>
      <c r="BF188" s="91">
        <v>0.05</v>
      </c>
      <c r="BG188" s="91">
        <v>6.98</v>
      </c>
      <c r="BH188" s="91"/>
      <c r="BI188" s="91"/>
      <c r="BJ188" s="91">
        <v>-0.11</v>
      </c>
      <c r="BK188" s="91">
        <v>-7.0000000000000007E-2</v>
      </c>
      <c r="BL188" s="97">
        <v>0</v>
      </c>
      <c r="BM188" s="275">
        <f t="shared" ref="BM188:BM219" si="38">(0.5*LL*LPG)+(0.5*_LG1*HG)+(0.66*LL*LLRG)+(0.66*FG*FRG)+(IF((HG&gt;0),(0.66*_LG2*LRG),(0.66*_LG1*LRG)))</f>
        <v>10.227474000000001</v>
      </c>
      <c r="BN188" s="319"/>
      <c r="BO188" s="320"/>
      <c r="BP188" s="321"/>
      <c r="BQ188" s="321"/>
      <c r="BR188" s="320"/>
      <c r="BS188" s="321"/>
      <c r="BT188" s="321"/>
      <c r="BU188" s="280">
        <f t="shared" ref="BU188:BU219" si="39">(0.5*LLS*LPS)+(0.66*LLS*LLRS)+(0.66*LS*LRS)+(0.66*FS*FRS)</f>
        <v>0</v>
      </c>
      <c r="BV188" s="322"/>
      <c r="BW188" s="320"/>
      <c r="BX188" s="320"/>
      <c r="BY188" s="320"/>
      <c r="BZ188" s="320"/>
      <c r="CA188" s="320"/>
      <c r="CB188" s="320"/>
      <c r="CC188" s="275">
        <f t="shared" ref="CC188:CC219" si="40">(0.5*LLD*LPD)+(0.66*LLD*LLRD)+(0.66*LCHD*LRD)+(0.66*FD*FRD)</f>
        <v>0</v>
      </c>
      <c r="CD188" s="98">
        <v>7.54</v>
      </c>
      <c r="CE188" s="91">
        <v>11.76</v>
      </c>
      <c r="CF188" s="91">
        <v>9.91</v>
      </c>
      <c r="CG188" s="91">
        <v>7.31</v>
      </c>
      <c r="CH188" s="266">
        <f t="shared" ref="CH188:CH219" si="41">IF(SF&gt;0,SMG/SF*100,"")</f>
        <v>96.949602122015904</v>
      </c>
      <c r="CI188" s="320"/>
      <c r="CJ188" s="280">
        <f t="shared" ref="CJ188:CJ219" si="42">SF*(_SL1+_SL2)/4+(SMG-SF/2)*(_SL1+_SL2)/3</f>
        <v>66.41855000000001</v>
      </c>
      <c r="CK188" s="83"/>
      <c r="CL188" s="91"/>
      <c r="CM188" s="91"/>
      <c r="CN188" s="91"/>
      <c r="CO188" s="256" t="str">
        <f t="shared" ref="CO188:CO219" si="43">IF(SCRF&gt;0,SCRMG/SCRF*100,"")</f>
        <v/>
      </c>
      <c r="CP188" s="320"/>
      <c r="CQ188" s="256">
        <f t="shared" ref="CQ188:CQ219" si="44">SCRF*(SCRL1+SCRL2)/4+(SCRMG-SCRF/2)*(SCRL1+SCRL2)/3</f>
        <v>0</v>
      </c>
      <c r="CR188" s="256" t="str">
        <f>IF(CO188&lt;'Look Ups'!$AC$4,"Yes","No")</f>
        <v>No</v>
      </c>
      <c r="CS188" s="293">
        <f>IF(CR188="Yes",MIN(150,('Look Ups'!$AC$4-PSCR)/('Look Ups'!$AC$4-'Look Ups'!$AC$3)*100),0)</f>
        <v>0</v>
      </c>
      <c r="CT188" s="83"/>
      <c r="CU188" s="91"/>
      <c r="CV188" s="91"/>
      <c r="CW188" s="91"/>
      <c r="CX188" s="256" t="str">
        <f t="shared" ref="CX188:CX219" si="45">IF(USCRF&gt;0,USCRMG/USCRF*100,"")</f>
        <v/>
      </c>
      <c r="CY188" s="293">
        <f>IF(PUSCR&lt;'Look Ups'!$AC$4,MIN(150,('Look Ups'!$AC$4-PUSCR)/('Look Ups'!$AC$4-'Look Ups'!$AC$3)*100),0)</f>
        <v>0</v>
      </c>
      <c r="CZ188" s="275">
        <f>IF(PUSCR&lt;'Look Ups'!$AC$4,USCRF*(USCRL1+USCRL2)/4+(USCRMG-USCRF/2)*(USCRL1+USCRL2)/3,0)</f>
        <v>0</v>
      </c>
      <c r="DA188" s="294">
        <f t="shared" ref="DA188:DA219" si="46">IF(ZVAL=1,1,IF(LPM&gt;0,0.64*((AM+MAM)/(E+(MC/2))^2)^0.3,0))</f>
        <v>1</v>
      </c>
      <c r="DB188" s="256">
        <f t="shared" ref="DB188:DB219" si="47">0.65*((AM+MAM)*EFM)+0.35*((AM+MAM)*ZVAL)</f>
        <v>22.5467075</v>
      </c>
      <c r="DC188" s="256">
        <f t="shared" ref="DC188:DC219" si="48">IF(ZVAL=1,1,IF(LPG&gt;0,0.72*(AG/(LPG^2))^0.3,0))</f>
        <v>1</v>
      </c>
      <c r="DD188" s="256">
        <f t="shared" ref="DD188:DD219" si="49">AG*EFG</f>
        <v>10.227474000000001</v>
      </c>
      <c r="DE188" s="256">
        <f>IF(AZ188&gt;0,'Look Ups'!$S$3,0)</f>
        <v>1</v>
      </c>
      <c r="DF188" s="256">
        <f t="shared" ref="DF188:DF219" si="50">IF(LPS&gt;0,0.72*(AS/(LPS^2))^0.3,0)</f>
        <v>0</v>
      </c>
      <c r="DG188" s="256">
        <f t="shared" ref="DG188:DG219" si="51">EFS*AS</f>
        <v>0</v>
      </c>
      <c r="DH188" s="256">
        <f t="shared" ref="DH188:DH219" si="52">IF(LPD&gt;0,0.72*(AD/(LPD^2))^0.3,0)</f>
        <v>0</v>
      </c>
      <c r="DI188" s="280">
        <f t="shared" ref="DI188:DI219" si="53">IF((AD-AG)&gt;0,0.3*(AD-AG)*EFD,0)</f>
        <v>0</v>
      </c>
      <c r="DJ188" s="295" t="str">
        <f t="shared" ref="DJ188:DJ219" si="54">IF((SCRF=0),"-",IF(AND(MSASC&gt;AG,SCRMG&lt;(0.75*SCRF)),"valid","ERROR"))</f>
        <v>-</v>
      </c>
      <c r="DK188" s="266" t="str">
        <f t="shared" ref="DK188:DK219" si="55">IF((SF=0),"-",IF((SMG&lt;(0.75*SF)),"ERROR",IF(AND(MSASP&gt;MSASC,MSASP&gt;AG,MSASP&gt;=0.36*RSAM),"valid","Small")))</f>
        <v>valid</v>
      </c>
      <c r="DL188" s="267" t="str">
        <f t="shared" ref="DL188:DL219" si="56">IF(C188="","",CONCATENATE("MG",IF(FLSCR="valid","Scr",""),IF(FLSPI="valid","SP","")))</f>
        <v>MGSP</v>
      </c>
      <c r="DM188" s="294">
        <f t="shared" ref="DM188:DM219" si="57">RSAM+RSAG</f>
        <v>32.774181499999997</v>
      </c>
      <c r="DN188" s="256">
        <f>IF(MSASP&gt;0,'Look Ups'!$AI$4*(ZVAL*MSASP-RSAG),0)</f>
        <v>16.857322800000002</v>
      </c>
      <c r="DO188" s="256">
        <f>IF(AND(MSASC&gt;0,(MSASC&gt;=0.36*RSAM)),('Look Ups'!$AI$3*(ZVAL*MSASC-RSAG)),(0))</f>
        <v>0</v>
      </c>
      <c r="DP188" s="256">
        <f>IF(MSASP&gt;0,'Look Ups'!$AI$5*(ZVAL*MSASP-RSAG),0)</f>
        <v>15.733501280000004</v>
      </c>
      <c r="DQ188" s="256">
        <f>IF(MSASC&gt;0,'Look Ups'!$AI$6*(MSASC-RSAG),0)</f>
        <v>0</v>
      </c>
      <c r="DR188" s="280">
        <f>'Look Ups'!$AI$7*MAX(IF(MSAUSC&gt;0,EUSC/100*(MSAUSC-RSAG),0),IF(CR188="Yes",ELSC/100*(MSASC-RSAG),0))</f>
        <v>0</v>
      </c>
      <c r="DS188" s="280">
        <f t="shared" ref="DS188:DS219" si="58">0.36*RSAM</f>
        <v>8.116814699999999</v>
      </c>
      <c r="DT188" s="296">
        <f t="shared" ref="DT188:DT219" si="59">_xlfn.IFS(SPC="MG",RAMG+DS188,SPC="MGScr",RAMG+RASCO,SPC="MGSp",RAMG+RASPO,SPC="MGScrSp",RAMG+RASPSC+RASCR)+RAUSC+RSAST+RSAD+RSAMZ+RSA2M</f>
        <v>49.631504300000003</v>
      </c>
      <c r="DU188" s="14"/>
    </row>
    <row r="189" spans="1:125" ht="15.6" customHeight="1" x14ac:dyDescent="0.3">
      <c r="A189" s="4"/>
      <c r="B189" s="365"/>
      <c r="C189" s="369" t="s">
        <v>690</v>
      </c>
      <c r="D189" s="370" t="s">
        <v>443</v>
      </c>
      <c r="E189" s="371" t="s">
        <v>691</v>
      </c>
      <c r="F189" s="252">
        <f t="shared" ca="1" si="30"/>
        <v>0.81799999999999995</v>
      </c>
      <c r="G189" s="252" t="str">
        <f ca="1">IF(OR(FLSCR="ERROR",FLSPI="ERROR"),"No",IF(TODAY()-'Look Ups'!$D$4*365&gt;I189,"WP Applied","Yes"))</f>
        <v>WP Applied</v>
      </c>
      <c r="H189" s="253" t="str">
        <f t="shared" si="31"/>
        <v>Main-Genoa-Spinnaker</v>
      </c>
      <c r="I189" s="1">
        <v>41493</v>
      </c>
      <c r="J189" s="1">
        <v>41494</v>
      </c>
      <c r="K189" s="87" t="s">
        <v>366</v>
      </c>
      <c r="L189" s="87" t="s">
        <v>159</v>
      </c>
      <c r="M189" s="207"/>
      <c r="N189" s="88" t="s">
        <v>165</v>
      </c>
      <c r="O189" s="88"/>
      <c r="P189" s="89"/>
      <c r="Q189" s="90">
        <v>11.08</v>
      </c>
      <c r="R189" s="87"/>
      <c r="S189" s="256">
        <f t="shared" si="32"/>
        <v>0.27700000000000002</v>
      </c>
      <c r="T189" s="117">
        <v>0.13</v>
      </c>
      <c r="U189" s="117">
        <v>0</v>
      </c>
      <c r="V189" s="258">
        <f t="shared" si="33"/>
        <v>10.95</v>
      </c>
      <c r="W189" s="259">
        <f>IF(RL&gt;0,IF(RL&gt;'Look Ups'!Y$7,'Look Ups'!Y$8,('Look Ups'!Y$3*RL^3+'Look Ups'!Y$4*RL^2+'Look Ups'!Y$5*RL+'Look Ups'!Y$6)),0)</f>
        <v>0.29948826837500003</v>
      </c>
      <c r="X189" s="92">
        <v>4000</v>
      </c>
      <c r="Y189" s="263">
        <f ca="1">IF(WDATE&lt;(TODAY()-'Look Ups'!$D$4*365),-WM*'Look Ups'!$D$5/100,0)</f>
        <v>-600</v>
      </c>
      <c r="Z189" s="103"/>
      <c r="AA189" s="109"/>
      <c r="AB189" s="109"/>
      <c r="AC189" s="265">
        <f>WCD+NC*'Look Ups'!$AF$3</f>
        <v>0</v>
      </c>
      <c r="AD189" s="265">
        <f ca="1">IF(RL&lt;'Look Ups'!AM$3,'Look Ups'!AM$4,IF(RL&gt;'Look Ups'!AM$5,'Look Ups'!AM$6,(RL-'Look Ups'!AM$3)/('Look Ups'!AM$5-'Look Ups'!AM$3)*('Look Ups'!AM$6-'Look Ups'!AM$4)+'Look Ups'!AM$4))/100*WS</f>
        <v>494.54545454545462</v>
      </c>
      <c r="AE189" s="269">
        <f t="shared" ca="1" si="34"/>
        <v>3400</v>
      </c>
      <c r="AF189" s="267">
        <f t="shared" ca="1" si="35"/>
        <v>3400</v>
      </c>
      <c r="AG189" s="94" t="s">
        <v>145</v>
      </c>
      <c r="AH189" s="95" t="s">
        <v>146</v>
      </c>
      <c r="AI189" s="96" t="s">
        <v>147</v>
      </c>
      <c r="AJ189" s="218"/>
      <c r="AK189" s="273">
        <f>IF(C189="",0,VLOOKUP(AG189,'Look Ups'!$F$3:$G$6,2,0)*VLOOKUP(AH189,'Look Ups'!$I$3:$J$5,2,0)*VLOOKUP(AI189,'Look Ups'!$L$3:$M$7,2,0)*IF(AJ189="",1,VLOOKUP(AJ189,'Look Ups'!$O$3:$P$4,2,0)))</f>
        <v>1</v>
      </c>
      <c r="AL189" s="83">
        <v>12.92</v>
      </c>
      <c r="AM189" s="91">
        <v>11.3</v>
      </c>
      <c r="AN189" s="91">
        <v>4.0999999999999996</v>
      </c>
      <c r="AO189" s="91">
        <v>1.2</v>
      </c>
      <c r="AP189" s="91">
        <v>0.84</v>
      </c>
      <c r="AQ189" s="91">
        <v>12.26</v>
      </c>
      <c r="AR189" s="91">
        <v>0.12</v>
      </c>
      <c r="AS189" s="91">
        <v>4.3</v>
      </c>
      <c r="AT189" s="91">
        <v>0.03</v>
      </c>
      <c r="AU189" s="91"/>
      <c r="AV189" s="91" t="s">
        <v>148</v>
      </c>
      <c r="AW189" s="97"/>
      <c r="AX189" s="256">
        <f t="shared" si="36"/>
        <v>12.29</v>
      </c>
      <c r="AY189" s="256">
        <f t="shared" si="37"/>
        <v>0</v>
      </c>
      <c r="AZ189" s="275">
        <f>IF(C189="",0,(0.5*(_ML1*LPM)+0.5*(_ML1*HB)+0.66*(P*PR)+0.66*(_ML2*RDM)+0.66*(E*ER))*VLOOKUP(BATT,'Look Ups'!$U$3:$V$4,2,0))</f>
        <v>41.558852000000009</v>
      </c>
      <c r="BA189" s="98"/>
      <c r="BB189" s="99"/>
      <c r="BC189" s="83">
        <v>12.13</v>
      </c>
      <c r="BD189" s="91">
        <v>4.49</v>
      </c>
      <c r="BE189" s="91">
        <v>4.91</v>
      </c>
      <c r="BF189" s="91">
        <v>0.12</v>
      </c>
      <c r="BG189" s="91">
        <v>10.85</v>
      </c>
      <c r="BH189" s="91"/>
      <c r="BI189" s="91"/>
      <c r="BJ189" s="91">
        <v>-0.12</v>
      </c>
      <c r="BK189" s="91">
        <v>0.11</v>
      </c>
      <c r="BL189" s="97"/>
      <c r="BM189" s="275">
        <f t="shared" si="38"/>
        <v>27.642040000000001</v>
      </c>
      <c r="BN189" s="319"/>
      <c r="BO189" s="320"/>
      <c r="BP189" s="321"/>
      <c r="BQ189" s="321"/>
      <c r="BR189" s="320"/>
      <c r="BS189" s="321"/>
      <c r="BT189" s="321"/>
      <c r="BU189" s="280">
        <f t="shared" si="39"/>
        <v>0</v>
      </c>
      <c r="BV189" s="322"/>
      <c r="BW189" s="320"/>
      <c r="BX189" s="320"/>
      <c r="BY189" s="320"/>
      <c r="BZ189" s="320"/>
      <c r="CA189" s="320"/>
      <c r="CB189" s="320"/>
      <c r="CC189" s="275">
        <f t="shared" si="40"/>
        <v>0</v>
      </c>
      <c r="CD189" s="98">
        <v>8.5500000000000007</v>
      </c>
      <c r="CE189" s="91">
        <v>15.05</v>
      </c>
      <c r="CF189" s="91">
        <v>12.25</v>
      </c>
      <c r="CG189" s="91">
        <v>8.3800000000000008</v>
      </c>
      <c r="CH189" s="266">
        <f t="shared" si="41"/>
        <v>98.011695906432749</v>
      </c>
      <c r="CI189" s="320"/>
      <c r="CJ189" s="280">
        <f t="shared" si="42"/>
        <v>95.709250000000011</v>
      </c>
      <c r="CK189" s="83"/>
      <c r="CL189" s="91"/>
      <c r="CM189" s="91"/>
      <c r="CN189" s="91"/>
      <c r="CO189" s="256" t="str">
        <f t="shared" si="43"/>
        <v/>
      </c>
      <c r="CP189" s="320"/>
      <c r="CQ189" s="256">
        <f t="shared" si="44"/>
        <v>0</v>
      </c>
      <c r="CR189" s="256" t="str">
        <f>IF(CO189&lt;'Look Ups'!$AC$4,"Yes","No")</f>
        <v>No</v>
      </c>
      <c r="CS189" s="293">
        <f>IF(CR189="Yes",MIN(150,('Look Ups'!$AC$4-PSCR)/('Look Ups'!$AC$4-'Look Ups'!$AC$3)*100),0)</f>
        <v>0</v>
      </c>
      <c r="CT189" s="83"/>
      <c r="CU189" s="91"/>
      <c r="CV189" s="91"/>
      <c r="CW189" s="91"/>
      <c r="CX189" s="256" t="str">
        <f t="shared" si="45"/>
        <v/>
      </c>
      <c r="CY189" s="293">
        <f>IF(PUSCR&lt;'Look Ups'!$AC$4,MIN(150,('Look Ups'!$AC$4-PUSCR)/('Look Ups'!$AC$4-'Look Ups'!$AC$3)*100),0)</f>
        <v>0</v>
      </c>
      <c r="CZ189" s="275">
        <f>IF(PUSCR&lt;'Look Ups'!$AC$4,USCRF*(USCRL1+USCRL2)/4+(USCRMG-USCRF/2)*(USCRL1+USCRL2)/3,0)</f>
        <v>0</v>
      </c>
      <c r="DA189" s="294">
        <f t="shared" si="46"/>
        <v>1</v>
      </c>
      <c r="DB189" s="256">
        <f t="shared" si="47"/>
        <v>41.558852000000009</v>
      </c>
      <c r="DC189" s="256">
        <f t="shared" si="48"/>
        <v>1</v>
      </c>
      <c r="DD189" s="256">
        <f t="shared" si="49"/>
        <v>27.642040000000001</v>
      </c>
      <c r="DE189" s="256">
        <f>IF(AZ189&gt;0,'Look Ups'!$S$3,0)</f>
        <v>1</v>
      </c>
      <c r="DF189" s="256">
        <f t="shared" si="50"/>
        <v>0</v>
      </c>
      <c r="DG189" s="256">
        <f t="shared" si="51"/>
        <v>0</v>
      </c>
      <c r="DH189" s="256">
        <f t="shared" si="52"/>
        <v>0</v>
      </c>
      <c r="DI189" s="280">
        <f t="shared" si="53"/>
        <v>0</v>
      </c>
      <c r="DJ189" s="295" t="str">
        <f t="shared" si="54"/>
        <v>-</v>
      </c>
      <c r="DK189" s="266" t="str">
        <f t="shared" si="55"/>
        <v>valid</v>
      </c>
      <c r="DL189" s="267" t="str">
        <f t="shared" si="56"/>
        <v>MGSP</v>
      </c>
      <c r="DM189" s="294">
        <f t="shared" si="57"/>
        <v>69.20089200000001</v>
      </c>
      <c r="DN189" s="256">
        <f>IF(MSASP&gt;0,'Look Ups'!$AI$4*(ZVAL*MSASP-RSAG),0)</f>
        <v>20.420163000000006</v>
      </c>
      <c r="DO189" s="256">
        <f>IF(AND(MSASC&gt;0,(MSASC&gt;=0.36*RSAM)),('Look Ups'!$AI$3*(ZVAL*MSASC-RSAG)),(0))</f>
        <v>0</v>
      </c>
      <c r="DP189" s="256">
        <f>IF(MSASP&gt;0,'Look Ups'!$AI$5*(ZVAL*MSASP-RSAG),0)</f>
        <v>19.058818800000008</v>
      </c>
      <c r="DQ189" s="256">
        <f>IF(MSASC&gt;0,'Look Ups'!$AI$6*(MSASC-RSAG),0)</f>
        <v>0</v>
      </c>
      <c r="DR189" s="280">
        <f>'Look Ups'!$AI$7*MAX(IF(MSAUSC&gt;0,EUSC/100*(MSAUSC-RSAG),0),IF(CR189="Yes",ELSC/100*(MSASC-RSAG),0))</f>
        <v>0</v>
      </c>
      <c r="DS189" s="280">
        <f t="shared" si="58"/>
        <v>14.961186720000002</v>
      </c>
      <c r="DT189" s="296">
        <f t="shared" si="59"/>
        <v>89.621055000000013</v>
      </c>
      <c r="DU189" s="14"/>
    </row>
    <row r="190" spans="1:125" ht="15.6" customHeight="1" x14ac:dyDescent="0.3">
      <c r="A190" s="4"/>
      <c r="B190" s="365"/>
      <c r="C190" s="369" t="s">
        <v>692</v>
      </c>
      <c r="D190" s="370" t="s">
        <v>194</v>
      </c>
      <c r="E190" s="371" t="s">
        <v>693</v>
      </c>
      <c r="F190" s="252">
        <f t="shared" ca="1" si="30"/>
        <v>0.91</v>
      </c>
      <c r="G190" s="252" t="str">
        <f ca="1">IF(OR(FLSCR="ERROR",FLSPI="ERROR"),"No",IF(TODAY()-'Look Ups'!$D$4*365&gt;I190,"WP Applied","Yes"))</f>
        <v>WP Applied</v>
      </c>
      <c r="H190" s="253" t="str">
        <f t="shared" si="31"/>
        <v>Main-Genoa-Spinnaker</v>
      </c>
      <c r="I190" s="1">
        <v>38995</v>
      </c>
      <c r="J190" s="1"/>
      <c r="K190" s="87" t="s">
        <v>694</v>
      </c>
      <c r="L190" s="87" t="s">
        <v>270</v>
      </c>
      <c r="M190" s="207"/>
      <c r="N190" s="88" t="s">
        <v>271</v>
      </c>
      <c r="O190" s="88"/>
      <c r="P190" s="89"/>
      <c r="Q190" s="90">
        <v>7.38</v>
      </c>
      <c r="R190" s="87"/>
      <c r="S190" s="256">
        <f t="shared" si="32"/>
        <v>0.1845</v>
      </c>
      <c r="T190" s="117">
        <v>0.2</v>
      </c>
      <c r="U190" s="117">
        <v>0</v>
      </c>
      <c r="V190" s="258">
        <f t="shared" si="33"/>
        <v>7.18</v>
      </c>
      <c r="W190" s="259">
        <f>IF(RL&gt;0,IF(RL&gt;'Look Ups'!Y$7,'Look Ups'!Y$8,('Look Ups'!Y$3*RL^3+'Look Ups'!Y$4*RL^2+'Look Ups'!Y$5*RL+'Look Ups'!Y$6)),0)</f>
        <v>0.29055146565599999</v>
      </c>
      <c r="X190" s="92">
        <v>935</v>
      </c>
      <c r="Y190" s="263">
        <f ca="1">IF(WDATE&lt;(TODAY()-'Look Ups'!$D$4*365),-WM*'Look Ups'!$D$5/100,0)</f>
        <v>-140.25</v>
      </c>
      <c r="Z190" s="103"/>
      <c r="AA190" s="109"/>
      <c r="AB190" s="109"/>
      <c r="AC190" s="265">
        <f>WCD+NC*'Look Ups'!$AF$3</f>
        <v>0</v>
      </c>
      <c r="AD190" s="265">
        <f ca="1">IF(RL&lt;'Look Ups'!AM$3,'Look Ups'!AM$4,IF(RL&gt;'Look Ups'!AM$5,'Look Ups'!AM$6,(RL-'Look Ups'!AM$3)/('Look Ups'!AM$5-'Look Ups'!AM$3)*('Look Ups'!AM$6-'Look Ups'!AM$4)+'Look Ups'!AM$4))/100*WS</f>
        <v>224.55300000000005</v>
      </c>
      <c r="AE190" s="269">
        <f t="shared" ca="1" si="34"/>
        <v>794.75</v>
      </c>
      <c r="AF190" s="267">
        <f t="shared" ca="1" si="35"/>
        <v>794.75</v>
      </c>
      <c r="AG190" s="94" t="s">
        <v>145</v>
      </c>
      <c r="AH190" s="95" t="s">
        <v>146</v>
      </c>
      <c r="AI190" s="96" t="s">
        <v>147</v>
      </c>
      <c r="AJ190" s="218"/>
      <c r="AK190" s="273">
        <f>IF(C190="",0,VLOOKUP(AG190,'Look Ups'!$F$3:$G$6,2,0)*VLOOKUP(AH190,'Look Ups'!$I$3:$J$5,2,0)*VLOOKUP(AI190,'Look Ups'!$L$3:$M$7,2,0)*IF(AJ190="",1,VLOOKUP(AJ190,'Look Ups'!$O$3:$P$4,2,0)))</f>
        <v>1</v>
      </c>
      <c r="AL190" s="83">
        <v>10.1</v>
      </c>
      <c r="AM190" s="91">
        <v>9.92</v>
      </c>
      <c r="AN190" s="91">
        <v>3.14</v>
      </c>
      <c r="AO190" s="91">
        <v>0.78</v>
      </c>
      <c r="AP190" s="91">
        <v>0.74</v>
      </c>
      <c r="AQ190" s="91">
        <v>9.77</v>
      </c>
      <c r="AR190" s="91">
        <v>0.12</v>
      </c>
      <c r="AS190" s="91">
        <v>3.26</v>
      </c>
      <c r="AT190" s="91">
        <v>0.04</v>
      </c>
      <c r="AU190" s="91">
        <v>0.49</v>
      </c>
      <c r="AV190" s="91" t="s">
        <v>148</v>
      </c>
      <c r="AW190" s="97">
        <v>0</v>
      </c>
      <c r="AX190" s="256">
        <f t="shared" si="36"/>
        <v>9.8099999999999987</v>
      </c>
      <c r="AY190" s="256">
        <f t="shared" si="37"/>
        <v>1.7952374999999998</v>
      </c>
      <c r="AZ190" s="275">
        <f>IF(C190="",0,(0.5*(_ML1*LPM)+0.5*(_ML1*HB)+0.66*(P*PR)+0.66*(_ML2*RDM)+0.66*(E*ER))*VLOOKUP(BATT,'Look Ups'!$U$3:$V$4,2,0))</f>
        <v>25.500775999999998</v>
      </c>
      <c r="BA190" s="98"/>
      <c r="BB190" s="99"/>
      <c r="BC190" s="83">
        <v>8.85</v>
      </c>
      <c r="BD190" s="91">
        <v>2.57</v>
      </c>
      <c r="BE190" s="91">
        <v>2.89</v>
      </c>
      <c r="BF190" s="91">
        <v>0.18</v>
      </c>
      <c r="BG190" s="91">
        <v>7.92</v>
      </c>
      <c r="BH190" s="91"/>
      <c r="BI190" s="91"/>
      <c r="BJ190" s="91">
        <v>0.04</v>
      </c>
      <c r="BK190" s="91">
        <v>0.03</v>
      </c>
      <c r="BL190" s="97">
        <v>0</v>
      </c>
      <c r="BM190" s="275">
        <f t="shared" si="38"/>
        <v>12.0999</v>
      </c>
      <c r="BN190" s="319"/>
      <c r="BO190" s="320"/>
      <c r="BP190" s="321"/>
      <c r="BQ190" s="321"/>
      <c r="BR190" s="320"/>
      <c r="BS190" s="321"/>
      <c r="BT190" s="321"/>
      <c r="BU190" s="280">
        <f t="shared" si="39"/>
        <v>0</v>
      </c>
      <c r="BV190" s="322"/>
      <c r="BW190" s="320"/>
      <c r="BX190" s="320"/>
      <c r="BY190" s="320"/>
      <c r="BZ190" s="320"/>
      <c r="CA190" s="320"/>
      <c r="CB190" s="320"/>
      <c r="CC190" s="275">
        <f t="shared" si="40"/>
        <v>0</v>
      </c>
      <c r="CD190" s="98">
        <v>6.5</v>
      </c>
      <c r="CE190" s="91">
        <v>11.46</v>
      </c>
      <c r="CF190" s="91">
        <v>9.4600000000000009</v>
      </c>
      <c r="CG190" s="91">
        <v>5.87</v>
      </c>
      <c r="CH190" s="266">
        <f t="shared" si="41"/>
        <v>90.307692307692307</v>
      </c>
      <c r="CI190" s="320"/>
      <c r="CJ190" s="280">
        <f t="shared" si="42"/>
        <v>52.265133333333338</v>
      </c>
      <c r="CK190" s="83"/>
      <c r="CL190" s="91"/>
      <c r="CM190" s="91"/>
      <c r="CN190" s="91"/>
      <c r="CO190" s="256" t="str">
        <f t="shared" si="43"/>
        <v/>
      </c>
      <c r="CP190" s="320"/>
      <c r="CQ190" s="256">
        <f t="shared" si="44"/>
        <v>0</v>
      </c>
      <c r="CR190" s="256" t="str">
        <f>IF(CO190&lt;'Look Ups'!$AC$4,"Yes","No")</f>
        <v>No</v>
      </c>
      <c r="CS190" s="293">
        <f>IF(CR190="Yes",MIN(150,('Look Ups'!$AC$4-PSCR)/('Look Ups'!$AC$4-'Look Ups'!$AC$3)*100),0)</f>
        <v>0</v>
      </c>
      <c r="CT190" s="83"/>
      <c r="CU190" s="91"/>
      <c r="CV190" s="91"/>
      <c r="CW190" s="91"/>
      <c r="CX190" s="256" t="str">
        <f t="shared" si="45"/>
        <v/>
      </c>
      <c r="CY190" s="293">
        <f>IF(PUSCR&lt;'Look Ups'!$AC$4,MIN(150,('Look Ups'!$AC$4-PUSCR)/('Look Ups'!$AC$4-'Look Ups'!$AC$3)*100),0)</f>
        <v>0</v>
      </c>
      <c r="CZ190" s="275">
        <f>IF(PUSCR&lt;'Look Ups'!$AC$4,USCRF*(USCRL1+USCRL2)/4+(USCRMG-USCRF/2)*(USCRL1+USCRL2)/3,0)</f>
        <v>0</v>
      </c>
      <c r="DA190" s="294">
        <f t="shared" si="46"/>
        <v>1</v>
      </c>
      <c r="DB190" s="256">
        <f t="shared" si="47"/>
        <v>27.296013499999994</v>
      </c>
      <c r="DC190" s="256">
        <f t="shared" si="48"/>
        <v>1</v>
      </c>
      <c r="DD190" s="256">
        <f t="shared" si="49"/>
        <v>12.0999</v>
      </c>
      <c r="DE190" s="256">
        <f>IF(AZ190&gt;0,'Look Ups'!$S$3,0)</f>
        <v>1</v>
      </c>
      <c r="DF190" s="256">
        <f t="shared" si="50"/>
        <v>0</v>
      </c>
      <c r="DG190" s="256">
        <f t="shared" si="51"/>
        <v>0</v>
      </c>
      <c r="DH190" s="256">
        <f t="shared" si="52"/>
        <v>0</v>
      </c>
      <c r="DI190" s="280">
        <f t="shared" si="53"/>
        <v>0</v>
      </c>
      <c r="DJ190" s="295" t="str">
        <f t="shared" si="54"/>
        <v>-</v>
      </c>
      <c r="DK190" s="266" t="str">
        <f t="shared" si="55"/>
        <v>valid</v>
      </c>
      <c r="DL190" s="267" t="str">
        <f t="shared" si="56"/>
        <v>MGSP</v>
      </c>
      <c r="DM190" s="294">
        <f t="shared" si="57"/>
        <v>39.395913499999992</v>
      </c>
      <c r="DN190" s="256">
        <f>IF(MSASP&gt;0,'Look Ups'!$AI$4*(ZVAL*MSASP-RSAG),0)</f>
        <v>12.049570000000001</v>
      </c>
      <c r="DO190" s="256">
        <f>IF(AND(MSASC&gt;0,(MSASC&gt;=0.36*RSAM)),('Look Ups'!$AI$3*(ZVAL*MSASC-RSAG)),(0))</f>
        <v>0</v>
      </c>
      <c r="DP190" s="256">
        <f>IF(MSASP&gt;0,'Look Ups'!$AI$5*(ZVAL*MSASP-RSAG),0)</f>
        <v>11.246265333333337</v>
      </c>
      <c r="DQ190" s="256">
        <f>IF(MSASC&gt;0,'Look Ups'!$AI$6*(MSASC-RSAG),0)</f>
        <v>0</v>
      </c>
      <c r="DR190" s="280">
        <f>'Look Ups'!$AI$7*MAX(IF(MSAUSC&gt;0,EUSC/100*(MSAUSC-RSAG),0),IF(CR190="Yes",ELSC/100*(MSASC-RSAG),0))</f>
        <v>0</v>
      </c>
      <c r="DS190" s="280">
        <f t="shared" si="58"/>
        <v>9.8265648599999977</v>
      </c>
      <c r="DT190" s="296">
        <f t="shared" si="59"/>
        <v>51.445483499999995</v>
      </c>
      <c r="DU190" s="14"/>
    </row>
    <row r="191" spans="1:125" ht="15.6" customHeight="1" x14ac:dyDescent="0.3">
      <c r="A191" s="4"/>
      <c r="B191" s="365"/>
      <c r="C191" s="369" t="s">
        <v>695</v>
      </c>
      <c r="D191" s="370" t="s">
        <v>436</v>
      </c>
      <c r="E191" s="371" t="s">
        <v>616</v>
      </c>
      <c r="F191" s="252">
        <f t="shared" ca="1" si="30"/>
        <v>0.91400000000000003</v>
      </c>
      <c r="G191" s="252" t="str">
        <f ca="1">IF(OR(FLSCR="ERROR",FLSPI="ERROR"),"No",IF(TODAY()-'Look Ups'!$D$4*365&gt;I191,"WP Applied","Yes"))</f>
        <v>WP Applied</v>
      </c>
      <c r="H191" s="253" t="str">
        <f t="shared" si="31"/>
        <v>Main-Genoa-Spinnaker</v>
      </c>
      <c r="I191" s="1">
        <v>37988</v>
      </c>
      <c r="J191" s="1"/>
      <c r="K191" s="87" t="s">
        <v>696</v>
      </c>
      <c r="L191" s="87" t="s">
        <v>182</v>
      </c>
      <c r="M191" s="207"/>
      <c r="N191" s="88" t="s">
        <v>165</v>
      </c>
      <c r="O191" s="88"/>
      <c r="P191" s="89">
        <v>8</v>
      </c>
      <c r="Q191" s="90">
        <v>15.2</v>
      </c>
      <c r="R191" s="87"/>
      <c r="S191" s="256">
        <f t="shared" si="32"/>
        <v>0.38</v>
      </c>
      <c r="T191" s="117">
        <v>0</v>
      </c>
      <c r="U191" s="117">
        <v>0</v>
      </c>
      <c r="V191" s="258">
        <f t="shared" si="33"/>
        <v>15.2</v>
      </c>
      <c r="W191" s="259">
        <f>IF(RL&gt;0,IF(RL&gt;'Look Ups'!Y$7,'Look Ups'!Y$8,('Look Ups'!Y$3*RL^3+'Look Ups'!Y$4*RL^2+'Look Ups'!Y$5*RL+'Look Ups'!Y$6)),0)</f>
        <v>0.3</v>
      </c>
      <c r="X191" s="92">
        <v>6930</v>
      </c>
      <c r="Y191" s="263">
        <f ca="1">IF(WDATE&lt;(TODAY()-'Look Ups'!$D$4*365),-WM*'Look Ups'!$D$5/100,0)</f>
        <v>-1039.5</v>
      </c>
      <c r="Z191" s="103"/>
      <c r="AA191" s="109"/>
      <c r="AB191" s="109"/>
      <c r="AC191" s="265">
        <f>WCD+NC*'Look Ups'!$AF$3</f>
        <v>0</v>
      </c>
      <c r="AD191" s="265">
        <f ca="1">IF(RL&lt;'Look Ups'!AM$3,'Look Ups'!AM$4,IF(RL&gt;'Look Ups'!AM$5,'Look Ups'!AM$6,(RL-'Look Ups'!AM$3)/('Look Ups'!AM$5-'Look Ups'!AM$3)*('Look Ups'!AM$6-'Look Ups'!AM$4)+'Look Ups'!AM$4))/100*WS</f>
        <v>589.05000000000007</v>
      </c>
      <c r="AE191" s="269">
        <f t="shared" ca="1" si="34"/>
        <v>5890.5</v>
      </c>
      <c r="AF191" s="267">
        <f t="shared" ca="1" si="35"/>
        <v>5890.5</v>
      </c>
      <c r="AG191" s="94" t="s">
        <v>145</v>
      </c>
      <c r="AH191" s="95" t="s">
        <v>146</v>
      </c>
      <c r="AI191" s="96" t="s">
        <v>177</v>
      </c>
      <c r="AJ191" s="218"/>
      <c r="AK191" s="273">
        <f>IF(C191="",0,VLOOKUP(AG191,'Look Ups'!$F$3:$G$6,2,0)*VLOOKUP(AH191,'Look Ups'!$I$3:$J$5,2,0)*VLOOKUP(AI191,'Look Ups'!$L$3:$M$7,2,0)*IF(AJ191="",1,VLOOKUP(AJ191,'Look Ups'!$O$3:$P$4,2,0)))</f>
        <v>0.99</v>
      </c>
      <c r="AL191" s="83">
        <v>18.93</v>
      </c>
      <c r="AM191" s="91">
        <v>17.52</v>
      </c>
      <c r="AN191" s="91">
        <v>5.42</v>
      </c>
      <c r="AO191" s="91">
        <v>1.02</v>
      </c>
      <c r="AP191" s="91">
        <v>0.47</v>
      </c>
      <c r="AQ191" s="91">
        <v>18.2</v>
      </c>
      <c r="AR191" s="91">
        <v>0.17</v>
      </c>
      <c r="AS191" s="91">
        <v>5.68</v>
      </c>
      <c r="AT191" s="91">
        <v>0</v>
      </c>
      <c r="AU191" s="91"/>
      <c r="AV191" s="91" t="s">
        <v>148</v>
      </c>
      <c r="AW191" s="97">
        <v>0</v>
      </c>
      <c r="AX191" s="256">
        <f t="shared" si="36"/>
        <v>18.2</v>
      </c>
      <c r="AY191" s="256">
        <f t="shared" si="37"/>
        <v>0</v>
      </c>
      <c r="AZ191" s="275">
        <f>IF(C191="",0,(0.5*(_ML1*LPM)+0.5*(_ML1*HB)+0.66*(P*PR)+0.66*(_ML2*RDM)+0.66*(E*ER))*VLOOKUP(BATT,'Look Ups'!$U$3:$V$4,2,0))</f>
        <v>68.431343999999996</v>
      </c>
      <c r="BA191" s="98"/>
      <c r="BB191" s="99"/>
      <c r="BC191" s="83">
        <v>17.079999999999998</v>
      </c>
      <c r="BD191" s="91">
        <v>5.51</v>
      </c>
      <c r="BE191" s="91">
        <v>6.25</v>
      </c>
      <c r="BF191" s="91">
        <v>0.1</v>
      </c>
      <c r="BG191" s="91">
        <v>15.08</v>
      </c>
      <c r="BH191" s="91"/>
      <c r="BI191" s="91"/>
      <c r="BJ191" s="91">
        <v>-0.5</v>
      </c>
      <c r="BK191" s="91">
        <v>0</v>
      </c>
      <c r="BL191" s="97"/>
      <c r="BM191" s="275">
        <f t="shared" si="38"/>
        <v>42.491499999999995</v>
      </c>
      <c r="BN191" s="319"/>
      <c r="BO191" s="320"/>
      <c r="BP191" s="321"/>
      <c r="BQ191" s="321"/>
      <c r="BR191" s="320"/>
      <c r="BS191" s="321"/>
      <c r="BT191" s="321"/>
      <c r="BU191" s="280">
        <f t="shared" si="39"/>
        <v>0</v>
      </c>
      <c r="BV191" s="322"/>
      <c r="BW191" s="320"/>
      <c r="BX191" s="320"/>
      <c r="BY191" s="320"/>
      <c r="BZ191" s="320"/>
      <c r="CA191" s="320"/>
      <c r="CB191" s="320"/>
      <c r="CC191" s="275">
        <f t="shared" si="40"/>
        <v>0</v>
      </c>
      <c r="CD191" s="98">
        <v>12.04</v>
      </c>
      <c r="CE191" s="91">
        <v>20.6</v>
      </c>
      <c r="CF191" s="91">
        <v>16.5</v>
      </c>
      <c r="CG191" s="91">
        <v>10.28</v>
      </c>
      <c r="CH191" s="266">
        <f t="shared" si="41"/>
        <v>85.38205980066445</v>
      </c>
      <c r="CI191" s="320"/>
      <c r="CJ191" s="280">
        <f t="shared" si="42"/>
        <v>164.35299999999998</v>
      </c>
      <c r="CK191" s="83"/>
      <c r="CL191" s="91"/>
      <c r="CM191" s="91"/>
      <c r="CN191" s="91"/>
      <c r="CO191" s="256" t="str">
        <f t="shared" si="43"/>
        <v/>
      </c>
      <c r="CP191" s="320"/>
      <c r="CQ191" s="256">
        <f t="shared" si="44"/>
        <v>0</v>
      </c>
      <c r="CR191" s="256" t="str">
        <f>IF(CO191&lt;'Look Ups'!$AC$4,"Yes","No")</f>
        <v>No</v>
      </c>
      <c r="CS191" s="293">
        <f>IF(CR191="Yes",MIN(150,('Look Ups'!$AC$4-PSCR)/('Look Ups'!$AC$4-'Look Ups'!$AC$3)*100),0)</f>
        <v>0</v>
      </c>
      <c r="CT191" s="83"/>
      <c r="CU191" s="91"/>
      <c r="CV191" s="91"/>
      <c r="CW191" s="91"/>
      <c r="CX191" s="256" t="str">
        <f t="shared" si="45"/>
        <v/>
      </c>
      <c r="CY191" s="293">
        <f>IF(PUSCR&lt;'Look Ups'!$AC$4,MIN(150,('Look Ups'!$AC$4-PUSCR)/('Look Ups'!$AC$4-'Look Ups'!$AC$3)*100),0)</f>
        <v>0</v>
      </c>
      <c r="CZ191" s="275">
        <f>IF(PUSCR&lt;'Look Ups'!$AC$4,USCRF*(USCRL1+USCRL2)/4+(USCRMG-USCRF/2)*(USCRL1+USCRL2)/3,0)</f>
        <v>0</v>
      </c>
      <c r="DA191" s="294">
        <f t="shared" si="46"/>
        <v>1</v>
      </c>
      <c r="DB191" s="256">
        <f t="shared" si="47"/>
        <v>68.431343999999996</v>
      </c>
      <c r="DC191" s="256">
        <f t="shared" si="48"/>
        <v>1</v>
      </c>
      <c r="DD191" s="256">
        <f t="shared" si="49"/>
        <v>42.491499999999995</v>
      </c>
      <c r="DE191" s="256">
        <f>IF(AZ191&gt;0,'Look Ups'!$S$3,0)</f>
        <v>1</v>
      </c>
      <c r="DF191" s="256">
        <f t="shared" si="50"/>
        <v>0</v>
      </c>
      <c r="DG191" s="256">
        <f t="shared" si="51"/>
        <v>0</v>
      </c>
      <c r="DH191" s="256">
        <f t="shared" si="52"/>
        <v>0</v>
      </c>
      <c r="DI191" s="280">
        <f t="shared" si="53"/>
        <v>0</v>
      </c>
      <c r="DJ191" s="295" t="str">
        <f t="shared" si="54"/>
        <v>-</v>
      </c>
      <c r="DK191" s="266" t="str">
        <f t="shared" si="55"/>
        <v>valid</v>
      </c>
      <c r="DL191" s="267" t="str">
        <f t="shared" si="56"/>
        <v>MGSP</v>
      </c>
      <c r="DM191" s="294">
        <f t="shared" si="57"/>
        <v>110.922844</v>
      </c>
      <c r="DN191" s="256">
        <f>IF(MSASP&gt;0,'Look Ups'!$AI$4*(ZVAL*MSASP-RSAG),0)</f>
        <v>36.558449999999993</v>
      </c>
      <c r="DO191" s="256">
        <f>IF(AND(MSASC&gt;0,(MSASC&gt;=0.36*RSAM)),('Look Ups'!$AI$3*(ZVAL*MSASC-RSAG)),(0))</f>
        <v>0</v>
      </c>
      <c r="DP191" s="256">
        <f>IF(MSASP&gt;0,'Look Ups'!$AI$5*(ZVAL*MSASP-RSAG),0)</f>
        <v>34.121219999999994</v>
      </c>
      <c r="DQ191" s="256">
        <f>IF(MSASC&gt;0,'Look Ups'!$AI$6*(MSASC-RSAG),0)</f>
        <v>0</v>
      </c>
      <c r="DR191" s="280">
        <f>'Look Ups'!$AI$7*MAX(IF(MSAUSC&gt;0,EUSC/100*(MSAUSC-RSAG),0),IF(CR191="Yes",ELSC/100*(MSASC-RSAG),0))</f>
        <v>0</v>
      </c>
      <c r="DS191" s="280">
        <f t="shared" si="58"/>
        <v>24.635283839999996</v>
      </c>
      <c r="DT191" s="296">
        <f t="shared" si="59"/>
        <v>147.48129399999999</v>
      </c>
      <c r="DU191" s="14"/>
    </row>
    <row r="192" spans="1:125" ht="15.6" customHeight="1" x14ac:dyDescent="0.3">
      <c r="A192" s="4"/>
      <c r="B192" s="365"/>
      <c r="C192" s="369" t="s">
        <v>697</v>
      </c>
      <c r="D192" s="370" t="s">
        <v>189</v>
      </c>
      <c r="E192" s="371" t="s">
        <v>698</v>
      </c>
      <c r="F192" s="252">
        <f t="shared" ca="1" si="30"/>
        <v>1.1240000000000001</v>
      </c>
      <c r="G192" s="252" t="str">
        <f ca="1">IF(OR(FLSCR="ERROR",FLSPI="ERROR"),"No",IF(TODAY()-'Look Ups'!$D$4*365&gt;I192,"WP Applied","Yes"))</f>
        <v>WP Applied</v>
      </c>
      <c r="H192" s="253" t="str">
        <f t="shared" si="31"/>
        <v>Main-Genoa-Spinnaker</v>
      </c>
      <c r="I192" s="1">
        <v>39890</v>
      </c>
      <c r="J192" s="1"/>
      <c r="K192" s="87" t="s">
        <v>366</v>
      </c>
      <c r="L192" s="87" t="s">
        <v>159</v>
      </c>
      <c r="M192" s="207"/>
      <c r="N192" s="88" t="s">
        <v>165</v>
      </c>
      <c r="O192" s="88"/>
      <c r="P192" s="89"/>
      <c r="Q192" s="90">
        <v>11.25</v>
      </c>
      <c r="R192" s="87"/>
      <c r="S192" s="256">
        <f t="shared" si="32"/>
        <v>0.28125</v>
      </c>
      <c r="T192" s="117">
        <v>0</v>
      </c>
      <c r="U192" s="117">
        <v>0</v>
      </c>
      <c r="V192" s="258">
        <f t="shared" si="33"/>
        <v>11.25</v>
      </c>
      <c r="W192" s="259">
        <f>IF(RL&gt;0,IF(RL&gt;'Look Ups'!Y$7,'Look Ups'!Y$8,('Look Ups'!Y$3*RL^3+'Look Ups'!Y$4*RL^2+'Look Ups'!Y$5*RL+'Look Ups'!Y$6)),0)</f>
        <v>0.29967382812499999</v>
      </c>
      <c r="X192" s="92">
        <v>2286</v>
      </c>
      <c r="Y192" s="263">
        <f ca="1">IF(WDATE&lt;(TODAY()-'Look Ups'!$D$4*365),-WM*'Look Ups'!$D$5/100,0)</f>
        <v>-342.9</v>
      </c>
      <c r="Z192" s="103"/>
      <c r="AA192" s="109"/>
      <c r="AB192" s="109"/>
      <c r="AC192" s="265">
        <f>WCD+NC*'Look Ups'!$AF$3</f>
        <v>0</v>
      </c>
      <c r="AD192" s="265">
        <f ca="1">IF(RL&lt;'Look Ups'!AM$3,'Look Ups'!AM$4,IF(RL&gt;'Look Ups'!AM$5,'Look Ups'!AM$6,(RL-'Look Ups'!AM$3)/('Look Ups'!AM$5-'Look Ups'!AM$3)*('Look Ups'!AM$6-'Look Ups'!AM$4)+'Look Ups'!AM$4))/100*WS</f>
        <v>261.43527272727266</v>
      </c>
      <c r="AE192" s="269">
        <f t="shared" ca="1" si="34"/>
        <v>1943.1</v>
      </c>
      <c r="AF192" s="267">
        <f t="shared" ca="1" si="35"/>
        <v>1943.1</v>
      </c>
      <c r="AG192" s="94" t="s">
        <v>145</v>
      </c>
      <c r="AH192" s="95" t="s">
        <v>146</v>
      </c>
      <c r="AI192" s="96" t="s">
        <v>147</v>
      </c>
      <c r="AJ192" s="218"/>
      <c r="AK192" s="273">
        <f>IF(C192="",0,VLOOKUP(AG192,'Look Ups'!$F$3:$G$6,2,0)*VLOOKUP(AH192,'Look Ups'!$I$3:$J$5,2,0)*VLOOKUP(AI192,'Look Ups'!$L$3:$M$7,2,0)*IF(AJ192="",1,VLOOKUP(AJ192,'Look Ups'!$O$3:$P$4,2,0)))</f>
        <v>1</v>
      </c>
      <c r="AL192" s="83">
        <v>17.440000000000001</v>
      </c>
      <c r="AM192" s="91">
        <v>16.98</v>
      </c>
      <c r="AN192" s="91">
        <v>5</v>
      </c>
      <c r="AO192" s="91">
        <v>1.62</v>
      </c>
      <c r="AP192" s="91">
        <v>0.84</v>
      </c>
      <c r="AQ192" s="91">
        <v>17.100000000000001</v>
      </c>
      <c r="AR192" s="91">
        <v>0.04</v>
      </c>
      <c r="AS192" s="91">
        <v>5.15</v>
      </c>
      <c r="AT192" s="91">
        <v>0</v>
      </c>
      <c r="AU192" s="91">
        <v>0</v>
      </c>
      <c r="AV192" s="91" t="s">
        <v>148</v>
      </c>
      <c r="AW192" s="97"/>
      <c r="AX192" s="256">
        <f t="shared" si="36"/>
        <v>17.100000000000001</v>
      </c>
      <c r="AY192" s="256">
        <f t="shared" si="37"/>
        <v>0</v>
      </c>
      <c r="AZ192" s="275">
        <f>IF(C192="",0,(0.5*(_ML1*LPM)+0.5*(_ML1*HB)+0.66*(P*PR)+0.66*(_ML2*RDM)+0.66*(E*ER))*VLOOKUP(BATT,'Look Ups'!$U$3:$V$4,2,0))</f>
        <v>67.591552000000007</v>
      </c>
      <c r="BA192" s="98"/>
      <c r="BB192" s="99"/>
      <c r="BC192" s="83">
        <v>14.8</v>
      </c>
      <c r="BD192" s="91">
        <v>3.66</v>
      </c>
      <c r="BE192" s="91">
        <v>4.04</v>
      </c>
      <c r="BF192" s="91">
        <v>0.13</v>
      </c>
      <c r="BG192" s="91">
        <v>13.68</v>
      </c>
      <c r="BH192" s="91"/>
      <c r="BI192" s="91"/>
      <c r="BJ192" s="91">
        <v>0.12</v>
      </c>
      <c r="BK192" s="91">
        <v>-0.14000000000000001</v>
      </c>
      <c r="BL192" s="97" t="s">
        <v>446</v>
      </c>
      <c r="BM192" s="275">
        <f t="shared" si="38"/>
        <v>27.146568000000002</v>
      </c>
      <c r="BN192" s="319"/>
      <c r="BO192" s="320"/>
      <c r="BP192" s="321"/>
      <c r="BQ192" s="321"/>
      <c r="BR192" s="320"/>
      <c r="BS192" s="321"/>
      <c r="BT192" s="321"/>
      <c r="BU192" s="280">
        <f t="shared" si="39"/>
        <v>0</v>
      </c>
      <c r="BV192" s="322"/>
      <c r="BW192" s="320"/>
      <c r="BX192" s="320"/>
      <c r="BY192" s="320"/>
      <c r="BZ192" s="320"/>
      <c r="CA192" s="320"/>
      <c r="CB192" s="320"/>
      <c r="CC192" s="275">
        <f t="shared" si="40"/>
        <v>0</v>
      </c>
      <c r="CD192" s="98">
        <v>9.1300000000000008</v>
      </c>
      <c r="CE192" s="91">
        <v>20.23</v>
      </c>
      <c r="CF192" s="91">
        <v>16.7</v>
      </c>
      <c r="CG192" s="91">
        <v>7.62</v>
      </c>
      <c r="CH192" s="266">
        <f t="shared" si="41"/>
        <v>83.461117196056946</v>
      </c>
      <c r="CI192" s="320"/>
      <c r="CJ192" s="280">
        <f t="shared" si="42"/>
        <v>121.89977500000001</v>
      </c>
      <c r="CK192" s="83"/>
      <c r="CL192" s="91"/>
      <c r="CM192" s="91"/>
      <c r="CN192" s="91"/>
      <c r="CO192" s="256" t="str">
        <f t="shared" si="43"/>
        <v/>
      </c>
      <c r="CP192" s="320"/>
      <c r="CQ192" s="256">
        <f t="shared" si="44"/>
        <v>0</v>
      </c>
      <c r="CR192" s="256" t="str">
        <f>IF(CO192&lt;'Look Ups'!$AC$4,"Yes","No")</f>
        <v>No</v>
      </c>
      <c r="CS192" s="293">
        <f>IF(CR192="Yes",MIN(150,('Look Ups'!$AC$4-PSCR)/('Look Ups'!$AC$4-'Look Ups'!$AC$3)*100),0)</f>
        <v>0</v>
      </c>
      <c r="CT192" s="83"/>
      <c r="CU192" s="91"/>
      <c r="CV192" s="91"/>
      <c r="CW192" s="91"/>
      <c r="CX192" s="256" t="str">
        <f t="shared" si="45"/>
        <v/>
      </c>
      <c r="CY192" s="293">
        <f>IF(PUSCR&lt;'Look Ups'!$AC$4,MIN(150,('Look Ups'!$AC$4-PUSCR)/('Look Ups'!$AC$4-'Look Ups'!$AC$3)*100),0)</f>
        <v>0</v>
      </c>
      <c r="CZ192" s="275">
        <f>IF(PUSCR&lt;'Look Ups'!$AC$4,USCRF*(USCRL1+USCRL2)/4+(USCRMG-USCRF/2)*(USCRL1+USCRL2)/3,0)</f>
        <v>0</v>
      </c>
      <c r="DA192" s="294">
        <f t="shared" si="46"/>
        <v>1</v>
      </c>
      <c r="DB192" s="256">
        <f t="shared" si="47"/>
        <v>67.591552000000007</v>
      </c>
      <c r="DC192" s="256">
        <f t="shared" si="48"/>
        <v>1</v>
      </c>
      <c r="DD192" s="256">
        <f t="shared" si="49"/>
        <v>27.146568000000002</v>
      </c>
      <c r="DE192" s="256">
        <f>IF(AZ192&gt;0,'Look Ups'!$S$3,0)</f>
        <v>1</v>
      </c>
      <c r="DF192" s="256">
        <f t="shared" si="50"/>
        <v>0</v>
      </c>
      <c r="DG192" s="256">
        <f t="shared" si="51"/>
        <v>0</v>
      </c>
      <c r="DH192" s="256">
        <f t="shared" si="52"/>
        <v>0</v>
      </c>
      <c r="DI192" s="280">
        <f t="shared" si="53"/>
        <v>0</v>
      </c>
      <c r="DJ192" s="295" t="str">
        <f t="shared" si="54"/>
        <v>-</v>
      </c>
      <c r="DK192" s="266" t="str">
        <f t="shared" si="55"/>
        <v>valid</v>
      </c>
      <c r="DL192" s="267" t="str">
        <f t="shared" si="56"/>
        <v>MGSP</v>
      </c>
      <c r="DM192" s="294">
        <f t="shared" si="57"/>
        <v>94.738120000000009</v>
      </c>
      <c r="DN192" s="256">
        <f>IF(MSASP&gt;0,'Look Ups'!$AI$4*(ZVAL*MSASP-RSAG),0)</f>
        <v>28.4259621</v>
      </c>
      <c r="DO192" s="256">
        <f>IF(AND(MSASC&gt;0,(MSASC&gt;=0.36*RSAM)),('Look Ups'!$AI$3*(ZVAL*MSASC-RSAG)),(0))</f>
        <v>0</v>
      </c>
      <c r="DP192" s="256">
        <f>IF(MSASP&gt;0,'Look Ups'!$AI$5*(ZVAL*MSASP-RSAG),0)</f>
        <v>26.530897960000004</v>
      </c>
      <c r="DQ192" s="256">
        <f>IF(MSASC&gt;0,'Look Ups'!$AI$6*(MSASC-RSAG),0)</f>
        <v>0</v>
      </c>
      <c r="DR192" s="280">
        <f>'Look Ups'!$AI$7*MAX(IF(MSAUSC&gt;0,EUSC/100*(MSAUSC-RSAG),0),IF(CR192="Yes",ELSC/100*(MSASC-RSAG),0))</f>
        <v>0</v>
      </c>
      <c r="DS192" s="280">
        <f t="shared" si="58"/>
        <v>24.332958720000001</v>
      </c>
      <c r="DT192" s="296">
        <f t="shared" si="59"/>
        <v>123.1640821</v>
      </c>
      <c r="DU192" s="14"/>
    </row>
    <row r="193" spans="1:125" ht="15.6" customHeight="1" x14ac:dyDescent="0.3">
      <c r="A193" s="4"/>
      <c r="B193" s="365"/>
      <c r="C193" s="369" t="s">
        <v>699</v>
      </c>
      <c r="D193" s="370" t="s">
        <v>277</v>
      </c>
      <c r="E193" s="371" t="s">
        <v>235</v>
      </c>
      <c r="F193" s="252">
        <f t="shared" ca="1" si="30"/>
        <v>0.93700000000000006</v>
      </c>
      <c r="G193" s="252" t="str">
        <f ca="1">IF(OR(FLSCR="ERROR",FLSPI="ERROR"),"No",IF(TODAY()-'Look Ups'!$D$4*365&gt;I193,"WP Applied","Yes"))</f>
        <v>WP Applied</v>
      </c>
      <c r="H193" s="253" t="str">
        <f t="shared" si="31"/>
        <v>Main-Genoa-Screacher (Upwind)-Spinnaker</v>
      </c>
      <c r="I193" s="1">
        <v>40222</v>
      </c>
      <c r="J193" s="1">
        <v>40241</v>
      </c>
      <c r="K193" s="87" t="s">
        <v>676</v>
      </c>
      <c r="L193" s="87" t="s">
        <v>241</v>
      </c>
      <c r="M193" s="207"/>
      <c r="N193" s="88" t="s">
        <v>143</v>
      </c>
      <c r="O193" s="88" t="s">
        <v>154</v>
      </c>
      <c r="P193" s="89"/>
      <c r="Q193" s="90">
        <v>7.07</v>
      </c>
      <c r="R193" s="87"/>
      <c r="S193" s="256">
        <f t="shared" si="32"/>
        <v>0.17675000000000002</v>
      </c>
      <c r="T193" s="117">
        <v>0.11</v>
      </c>
      <c r="U193" s="117">
        <v>0.1</v>
      </c>
      <c r="V193" s="258">
        <f t="shared" si="33"/>
        <v>6.86</v>
      </c>
      <c r="W193" s="259">
        <f>IF(RL&gt;0,IF(RL&gt;'Look Ups'!Y$7,'Look Ups'!Y$8,('Look Ups'!Y$3*RL^3+'Look Ups'!Y$4*RL^2+'Look Ups'!Y$5*RL+'Look Ups'!Y$6)),0)</f>
        <v>0.28903991224800002</v>
      </c>
      <c r="X193" s="92">
        <v>840</v>
      </c>
      <c r="Y193" s="263">
        <f ca="1">IF(WDATE&lt;(TODAY()-'Look Ups'!$D$4*365),-WM*'Look Ups'!$D$5/100,0)</f>
        <v>-126</v>
      </c>
      <c r="Z193" s="103"/>
      <c r="AA193" s="109"/>
      <c r="AB193" s="109"/>
      <c r="AC193" s="265">
        <f>WCD+NC*'Look Ups'!$AF$3</f>
        <v>0</v>
      </c>
      <c r="AD193" s="265">
        <f ca="1">IF(RL&lt;'Look Ups'!AM$3,'Look Ups'!AM$4,IF(RL&gt;'Look Ups'!AM$5,'Look Ups'!AM$6,(RL-'Look Ups'!AM$3)/('Look Ups'!AM$5-'Look Ups'!AM$3)*('Look Ups'!AM$6-'Look Ups'!AM$4)+'Look Ups'!AM$4))/100*WS</f>
        <v>210.04581818181816</v>
      </c>
      <c r="AE193" s="269">
        <f t="shared" ca="1" si="34"/>
        <v>714</v>
      </c>
      <c r="AF193" s="267">
        <f t="shared" ca="1" si="35"/>
        <v>714</v>
      </c>
      <c r="AG193" s="94" t="s">
        <v>145</v>
      </c>
      <c r="AH193" s="95" t="s">
        <v>146</v>
      </c>
      <c r="AI193" s="96" t="s">
        <v>147</v>
      </c>
      <c r="AJ193" s="218"/>
      <c r="AK193" s="273">
        <f>IF(C193="",0,VLOOKUP(AG193,'Look Ups'!$F$3:$G$6,2,0)*VLOOKUP(AH193,'Look Ups'!$I$3:$J$5,2,0)*VLOOKUP(AI193,'Look Ups'!$L$3:$M$7,2,0)*IF(AJ193="",1,VLOOKUP(AJ193,'Look Ups'!$O$3:$P$4,2,0)))</f>
        <v>1</v>
      </c>
      <c r="AL193" s="83">
        <v>10.46</v>
      </c>
      <c r="AM193" s="91">
        <v>10.26</v>
      </c>
      <c r="AN193" s="91">
        <v>2.94</v>
      </c>
      <c r="AO193" s="91">
        <v>0.74</v>
      </c>
      <c r="AP193" s="91">
        <v>0.60000000000000009</v>
      </c>
      <c r="AQ193" s="91">
        <v>10.18</v>
      </c>
      <c r="AR193" s="91">
        <v>0.08</v>
      </c>
      <c r="AS193" s="91">
        <v>2.94</v>
      </c>
      <c r="AT193" s="91">
        <v>0.08</v>
      </c>
      <c r="AU193" s="91">
        <v>0.45</v>
      </c>
      <c r="AV193" s="91" t="s">
        <v>148</v>
      </c>
      <c r="AW193" s="97" t="s">
        <v>700</v>
      </c>
      <c r="AX193" s="256">
        <f t="shared" si="36"/>
        <v>10.26</v>
      </c>
      <c r="AY193" s="256">
        <f t="shared" si="37"/>
        <v>1.717875</v>
      </c>
      <c r="AZ193" s="275">
        <f>IF(C193="",0,(0.5*(_ML1*LPM)+0.5*(_ML1*HB)+0.66*(P*PR)+0.66*(_ML2*RDM)+0.66*(E*ER))*VLOOKUP(BATT,'Look Ups'!$U$3:$V$4,2,0))</f>
        <v>24.002096000000002</v>
      </c>
      <c r="BA193" s="98"/>
      <c r="BB193" s="99"/>
      <c r="BC193" s="83">
        <v>9.11</v>
      </c>
      <c r="BD193" s="91">
        <v>2.4700000000000002</v>
      </c>
      <c r="BE193" s="91">
        <v>2.89</v>
      </c>
      <c r="BF193" s="91">
        <v>0.09</v>
      </c>
      <c r="BG193" s="91">
        <v>7.97</v>
      </c>
      <c r="BH193" s="91"/>
      <c r="BI193" s="91"/>
      <c r="BJ193" s="91">
        <v>0.06</v>
      </c>
      <c r="BK193" s="91">
        <v>0.31</v>
      </c>
      <c r="BL193" s="97" t="s">
        <v>213</v>
      </c>
      <c r="BM193" s="275">
        <f t="shared" si="38"/>
        <v>13.602034</v>
      </c>
      <c r="BN193" s="319"/>
      <c r="BO193" s="320"/>
      <c r="BP193" s="321"/>
      <c r="BQ193" s="321"/>
      <c r="BR193" s="320"/>
      <c r="BS193" s="321"/>
      <c r="BT193" s="321"/>
      <c r="BU193" s="280">
        <f t="shared" si="39"/>
        <v>0</v>
      </c>
      <c r="BV193" s="322"/>
      <c r="BW193" s="320"/>
      <c r="BX193" s="320"/>
      <c r="BY193" s="320"/>
      <c r="BZ193" s="320"/>
      <c r="CA193" s="320"/>
      <c r="CB193" s="320"/>
      <c r="CC193" s="275">
        <f t="shared" si="40"/>
        <v>0</v>
      </c>
      <c r="CD193" s="98">
        <v>6.5</v>
      </c>
      <c r="CE193" s="91">
        <v>12</v>
      </c>
      <c r="CF193" s="91">
        <v>10.23</v>
      </c>
      <c r="CG193" s="91">
        <v>5.92</v>
      </c>
      <c r="CH193" s="266">
        <f t="shared" si="41"/>
        <v>91.07692307692308</v>
      </c>
      <c r="CI193" s="320"/>
      <c r="CJ193" s="280">
        <f t="shared" si="42"/>
        <v>55.908450000000002</v>
      </c>
      <c r="CK193" s="83">
        <v>5.77</v>
      </c>
      <c r="CL193" s="91">
        <v>10.32</v>
      </c>
      <c r="CM193" s="91">
        <v>9.1300000000000008</v>
      </c>
      <c r="CN193" s="91">
        <v>2.96</v>
      </c>
      <c r="CO193" s="256">
        <f t="shared" si="43"/>
        <v>51.299826689774697</v>
      </c>
      <c r="CP193" s="320"/>
      <c r="CQ193" s="256">
        <f t="shared" si="44"/>
        <v>28.542875000000002</v>
      </c>
      <c r="CR193" s="256" t="str">
        <f>IF(CO193&lt;'Look Ups'!$AC$4,"Yes","No")</f>
        <v>Yes</v>
      </c>
      <c r="CS193" s="293">
        <f>IF(CR193="Yes",MIN(150,('Look Ups'!$AC$4-PSCR)/('Look Ups'!$AC$4-'Look Ups'!$AC$3)*100),0)</f>
        <v>14.003466204506054</v>
      </c>
      <c r="CT193" s="83"/>
      <c r="CU193" s="91"/>
      <c r="CV193" s="91"/>
      <c r="CW193" s="91"/>
      <c r="CX193" s="256" t="str">
        <f t="shared" si="45"/>
        <v/>
      </c>
      <c r="CY193" s="293">
        <f>IF(PUSCR&lt;'Look Ups'!$AC$4,MIN(150,('Look Ups'!$AC$4-PUSCR)/('Look Ups'!$AC$4-'Look Ups'!$AC$3)*100),0)</f>
        <v>0</v>
      </c>
      <c r="CZ193" s="275">
        <f>IF(PUSCR&lt;'Look Ups'!$AC$4,USCRF*(USCRL1+USCRL2)/4+(USCRMG-USCRF/2)*(USCRL1+USCRL2)/3,0)</f>
        <v>0</v>
      </c>
      <c r="DA193" s="294">
        <f t="shared" si="46"/>
        <v>1</v>
      </c>
      <c r="DB193" s="256">
        <f t="shared" si="47"/>
        <v>25.719971000000001</v>
      </c>
      <c r="DC193" s="256">
        <f t="shared" si="48"/>
        <v>1</v>
      </c>
      <c r="DD193" s="256">
        <f t="shared" si="49"/>
        <v>13.602034</v>
      </c>
      <c r="DE193" s="256">
        <f>IF(AZ193&gt;0,'Look Ups'!$S$3,0)</f>
        <v>1</v>
      </c>
      <c r="DF193" s="256">
        <f t="shared" si="50"/>
        <v>0</v>
      </c>
      <c r="DG193" s="256">
        <f t="shared" si="51"/>
        <v>0</v>
      </c>
      <c r="DH193" s="256">
        <f t="shared" si="52"/>
        <v>0</v>
      </c>
      <c r="DI193" s="280">
        <f t="shared" si="53"/>
        <v>0</v>
      </c>
      <c r="DJ193" s="295" t="str">
        <f t="shared" si="54"/>
        <v>valid</v>
      </c>
      <c r="DK193" s="266" t="str">
        <f t="shared" si="55"/>
        <v>valid</v>
      </c>
      <c r="DL193" s="267" t="str">
        <f t="shared" si="56"/>
        <v>MGScrSP</v>
      </c>
      <c r="DM193" s="294">
        <f t="shared" si="57"/>
        <v>39.322005000000004</v>
      </c>
      <c r="DN193" s="256">
        <f>IF(MSASP&gt;0,'Look Ups'!$AI$4*(ZVAL*MSASP-RSAG),0)</f>
        <v>12.691924799999999</v>
      </c>
      <c r="DO193" s="256">
        <f>IF(AND(MSASC&gt;0,(MSASC&gt;=0.36*RSAM)),('Look Ups'!$AI$3*(ZVAL*MSASC-RSAG)),(0))</f>
        <v>5.2292943500000009</v>
      </c>
      <c r="DP193" s="256">
        <f>IF(MSASP&gt;0,'Look Ups'!$AI$5*(ZVAL*MSASP-RSAG),0)</f>
        <v>11.845796480000001</v>
      </c>
      <c r="DQ193" s="256">
        <f>IF(MSASC&gt;0,'Look Ups'!$AI$6*(MSASC-RSAG),0)</f>
        <v>1.0458588700000002</v>
      </c>
      <c r="DR193" s="280">
        <f>'Look Ups'!$AI$7*MAX(IF(MSAUSC&gt;0,EUSC/100*(MSAUSC-RSAG),0),IF(CR193="Yes",ELSC/100*(MSASC-RSAG),0))</f>
        <v>0.52305890502599617</v>
      </c>
      <c r="DS193" s="280">
        <f t="shared" si="58"/>
        <v>9.2591895599999994</v>
      </c>
      <c r="DT193" s="296">
        <f t="shared" si="59"/>
        <v>52.73671925502601</v>
      </c>
      <c r="DU193" s="14"/>
    </row>
    <row r="194" spans="1:125" ht="15.6" customHeight="1" x14ac:dyDescent="0.3">
      <c r="A194" s="4"/>
      <c r="B194" s="365"/>
      <c r="C194" s="369" t="s">
        <v>701</v>
      </c>
      <c r="D194" s="370" t="s">
        <v>370</v>
      </c>
      <c r="E194" s="371" t="s">
        <v>702</v>
      </c>
      <c r="F194" s="252">
        <f t="shared" ca="1" si="30"/>
        <v>0.89800000000000002</v>
      </c>
      <c r="G194" s="252" t="str">
        <f ca="1">IF(OR(FLSCR="ERROR",FLSPI="ERROR"),"No",IF(TODAY()-'Look Ups'!$D$4*365&gt;I194,"WP Applied","Yes"))</f>
        <v>WP Applied</v>
      </c>
      <c r="H194" s="253" t="str">
        <f t="shared" si="31"/>
        <v>Main-Genoa-Spinnaker</v>
      </c>
      <c r="I194" s="1">
        <v>39277</v>
      </c>
      <c r="J194" s="1"/>
      <c r="K194" s="87" t="s">
        <v>640</v>
      </c>
      <c r="L194" s="87" t="s">
        <v>589</v>
      </c>
      <c r="M194" s="207"/>
      <c r="N194" s="88" t="s">
        <v>165</v>
      </c>
      <c r="O194" s="88"/>
      <c r="P194" s="89"/>
      <c r="Q194" s="90">
        <v>9.2799999999999994</v>
      </c>
      <c r="R194" s="87"/>
      <c r="S194" s="256">
        <f t="shared" si="32"/>
        <v>0.23199999999999998</v>
      </c>
      <c r="T194" s="117">
        <v>0.28000000000000003</v>
      </c>
      <c r="U194" s="117">
        <v>0</v>
      </c>
      <c r="V194" s="258">
        <f t="shared" si="33"/>
        <v>9</v>
      </c>
      <c r="W194" s="259">
        <f>IF(RL&gt;0,IF(RL&gt;'Look Ups'!Y$7,'Look Ups'!Y$8,('Look Ups'!Y$3*RL^3+'Look Ups'!Y$4*RL^2+'Look Ups'!Y$5*RL+'Look Ups'!Y$6)),0)</f>
        <v>0.296657</v>
      </c>
      <c r="X194" s="92">
        <v>1830</v>
      </c>
      <c r="Y194" s="263">
        <f ca="1">IF(WDATE&lt;(TODAY()-'Look Ups'!$D$4*365),-WM*'Look Ups'!$D$5/100,0)</f>
        <v>-274.5</v>
      </c>
      <c r="Z194" s="103"/>
      <c r="AA194" s="109"/>
      <c r="AB194" s="109"/>
      <c r="AC194" s="265">
        <f>WCD+NC*'Look Ups'!$AF$3</f>
        <v>0</v>
      </c>
      <c r="AD194" s="265">
        <f ca="1">IF(RL&lt;'Look Ups'!AM$3,'Look Ups'!AM$4,IF(RL&gt;'Look Ups'!AM$5,'Look Ups'!AM$6,(RL-'Look Ups'!AM$3)/('Look Ups'!AM$5-'Look Ups'!AM$3)*('Look Ups'!AM$6-'Look Ups'!AM$4)+'Look Ups'!AM$4))/100*WS</f>
        <v>336.55363636363637</v>
      </c>
      <c r="AE194" s="269">
        <f t="shared" ca="1" si="34"/>
        <v>1555.5</v>
      </c>
      <c r="AF194" s="267">
        <f t="shared" ca="1" si="35"/>
        <v>1555.5</v>
      </c>
      <c r="AG194" s="94" t="s">
        <v>145</v>
      </c>
      <c r="AH194" s="95" t="s">
        <v>146</v>
      </c>
      <c r="AI194" s="96" t="s">
        <v>147</v>
      </c>
      <c r="AJ194" s="218"/>
      <c r="AK194" s="273">
        <f>IF(C194="",0,VLOOKUP(AG194,'Look Ups'!$F$3:$G$6,2,0)*VLOOKUP(AH194,'Look Ups'!$I$3:$J$5,2,0)*VLOOKUP(AI194,'Look Ups'!$L$3:$M$7,2,0)*IF(AJ194="",1,VLOOKUP(AJ194,'Look Ups'!$O$3:$P$4,2,0)))</f>
        <v>1</v>
      </c>
      <c r="AL194" s="83">
        <v>11.98</v>
      </c>
      <c r="AM194" s="91">
        <v>11.87</v>
      </c>
      <c r="AN194" s="91">
        <v>3.67</v>
      </c>
      <c r="AO194" s="91">
        <v>0.79</v>
      </c>
      <c r="AP194" s="91">
        <v>0.57000000000000006</v>
      </c>
      <c r="AQ194" s="91">
        <v>12.23</v>
      </c>
      <c r="AR194" s="91">
        <v>0.13</v>
      </c>
      <c r="AS194" s="91">
        <v>3.69</v>
      </c>
      <c r="AT194" s="91">
        <v>0.85</v>
      </c>
      <c r="AU194" s="91"/>
      <c r="AV194" s="91" t="s">
        <v>148</v>
      </c>
      <c r="AW194" s="97">
        <v>0</v>
      </c>
      <c r="AX194" s="256">
        <f t="shared" si="36"/>
        <v>13.08</v>
      </c>
      <c r="AY194" s="256">
        <f t="shared" si="37"/>
        <v>0</v>
      </c>
      <c r="AZ194" s="275">
        <f>IF(C194="",0,(0.5*(_ML1*LPM)+0.5*(_ML1*HB)+0.66*(P*PR)+0.66*(_ML2*RDM)+0.66*(E*ER))*VLOOKUP(BATT,'Look Ups'!$U$3:$V$4,2,0))</f>
        <v>34.300318000000004</v>
      </c>
      <c r="BA194" s="98"/>
      <c r="BB194" s="99"/>
      <c r="BC194" s="83">
        <v>10.4</v>
      </c>
      <c r="BD194" s="91">
        <v>3.77</v>
      </c>
      <c r="BE194" s="91">
        <v>4.04</v>
      </c>
      <c r="BF194" s="91">
        <v>0.13</v>
      </c>
      <c r="BG194" s="91">
        <v>9.6</v>
      </c>
      <c r="BH194" s="91"/>
      <c r="BI194" s="91"/>
      <c r="BJ194" s="91">
        <v>-0.32</v>
      </c>
      <c r="BK194" s="91">
        <v>0.06</v>
      </c>
      <c r="BL194" s="97">
        <v>0</v>
      </c>
      <c r="BM194" s="275">
        <f t="shared" si="38"/>
        <v>18.334952000000001</v>
      </c>
      <c r="BN194" s="319"/>
      <c r="BO194" s="320"/>
      <c r="BP194" s="321"/>
      <c r="BQ194" s="321"/>
      <c r="BR194" s="320"/>
      <c r="BS194" s="321"/>
      <c r="BT194" s="321"/>
      <c r="BU194" s="280">
        <f t="shared" si="39"/>
        <v>0</v>
      </c>
      <c r="BV194" s="322"/>
      <c r="BW194" s="320"/>
      <c r="BX194" s="320"/>
      <c r="BY194" s="320"/>
      <c r="BZ194" s="320"/>
      <c r="CA194" s="320"/>
      <c r="CB194" s="320"/>
      <c r="CC194" s="275">
        <f t="shared" si="40"/>
        <v>0</v>
      </c>
      <c r="CD194" s="98">
        <v>7.86</v>
      </c>
      <c r="CE194" s="91">
        <v>14.75</v>
      </c>
      <c r="CF194" s="91">
        <v>11.95</v>
      </c>
      <c r="CG194" s="91">
        <v>6.78</v>
      </c>
      <c r="CH194" s="266">
        <f t="shared" si="41"/>
        <v>86.25954198473282</v>
      </c>
      <c r="CI194" s="320"/>
      <c r="CJ194" s="280">
        <f t="shared" si="42"/>
        <v>77.830500000000001</v>
      </c>
      <c r="CK194" s="83"/>
      <c r="CL194" s="91"/>
      <c r="CM194" s="91"/>
      <c r="CN194" s="91"/>
      <c r="CO194" s="256" t="str">
        <f t="shared" si="43"/>
        <v/>
      </c>
      <c r="CP194" s="320"/>
      <c r="CQ194" s="256">
        <f t="shared" si="44"/>
        <v>0</v>
      </c>
      <c r="CR194" s="256" t="str">
        <f>IF(CO194&lt;'Look Ups'!$AC$4,"Yes","No")</f>
        <v>No</v>
      </c>
      <c r="CS194" s="293">
        <f>IF(CR194="Yes",MIN(150,('Look Ups'!$AC$4-PSCR)/('Look Ups'!$AC$4-'Look Ups'!$AC$3)*100),0)</f>
        <v>0</v>
      </c>
      <c r="CT194" s="83"/>
      <c r="CU194" s="91"/>
      <c r="CV194" s="91"/>
      <c r="CW194" s="91"/>
      <c r="CX194" s="256" t="str">
        <f t="shared" si="45"/>
        <v/>
      </c>
      <c r="CY194" s="293">
        <f>IF(PUSCR&lt;'Look Ups'!$AC$4,MIN(150,('Look Ups'!$AC$4-PUSCR)/('Look Ups'!$AC$4-'Look Ups'!$AC$3)*100),0)</f>
        <v>0</v>
      </c>
      <c r="CZ194" s="275">
        <f>IF(PUSCR&lt;'Look Ups'!$AC$4,USCRF*(USCRL1+USCRL2)/4+(USCRMG-USCRF/2)*(USCRL1+USCRL2)/3,0)</f>
        <v>0</v>
      </c>
      <c r="DA194" s="294">
        <f t="shared" si="46"/>
        <v>1</v>
      </c>
      <c r="DB194" s="256">
        <f t="shared" si="47"/>
        <v>34.300318000000004</v>
      </c>
      <c r="DC194" s="256">
        <f t="shared" si="48"/>
        <v>1</v>
      </c>
      <c r="DD194" s="256">
        <f t="shared" si="49"/>
        <v>18.334952000000001</v>
      </c>
      <c r="DE194" s="256">
        <f>IF(AZ194&gt;0,'Look Ups'!$S$3,0)</f>
        <v>1</v>
      </c>
      <c r="DF194" s="256">
        <f t="shared" si="50"/>
        <v>0</v>
      </c>
      <c r="DG194" s="256">
        <f t="shared" si="51"/>
        <v>0</v>
      </c>
      <c r="DH194" s="256">
        <f t="shared" si="52"/>
        <v>0</v>
      </c>
      <c r="DI194" s="280">
        <f t="shared" si="53"/>
        <v>0</v>
      </c>
      <c r="DJ194" s="295" t="str">
        <f t="shared" si="54"/>
        <v>-</v>
      </c>
      <c r="DK194" s="266" t="str">
        <f t="shared" si="55"/>
        <v>valid</v>
      </c>
      <c r="DL194" s="267" t="str">
        <f t="shared" si="56"/>
        <v>MGSP</v>
      </c>
      <c r="DM194" s="294">
        <f t="shared" si="57"/>
        <v>52.635270000000006</v>
      </c>
      <c r="DN194" s="256">
        <f>IF(MSASP&gt;0,'Look Ups'!$AI$4*(ZVAL*MSASP-RSAG),0)</f>
        <v>17.848664400000001</v>
      </c>
      <c r="DO194" s="256">
        <f>IF(AND(MSASC&gt;0,(MSASC&gt;=0.36*RSAM)),('Look Ups'!$AI$3*(ZVAL*MSASC-RSAG)),(0))</f>
        <v>0</v>
      </c>
      <c r="DP194" s="256">
        <f>IF(MSASP&gt;0,'Look Ups'!$AI$5*(ZVAL*MSASP-RSAG),0)</f>
        <v>16.658753440000002</v>
      </c>
      <c r="DQ194" s="256">
        <f>IF(MSASC&gt;0,'Look Ups'!$AI$6*(MSASC-RSAG),0)</f>
        <v>0</v>
      </c>
      <c r="DR194" s="280">
        <f>'Look Ups'!$AI$7*MAX(IF(MSAUSC&gt;0,EUSC/100*(MSAUSC-RSAG),0),IF(CR194="Yes",ELSC/100*(MSASC-RSAG),0))</f>
        <v>0</v>
      </c>
      <c r="DS194" s="280">
        <f t="shared" si="58"/>
        <v>12.348114480000001</v>
      </c>
      <c r="DT194" s="296">
        <f t="shared" si="59"/>
        <v>70.48393440000001</v>
      </c>
      <c r="DU194" s="14"/>
    </row>
    <row r="195" spans="1:125" ht="15.6" customHeight="1" x14ac:dyDescent="0.3">
      <c r="A195" s="4"/>
      <c r="B195" s="365"/>
      <c r="C195" s="369" t="s">
        <v>703</v>
      </c>
      <c r="D195" s="370" t="s">
        <v>704</v>
      </c>
      <c r="E195" s="371" t="s">
        <v>705</v>
      </c>
      <c r="F195" s="252">
        <f t="shared" ca="1" si="30"/>
        <v>0.66300000000000003</v>
      </c>
      <c r="G195" s="252" t="str">
        <f ca="1">IF(OR(FLSCR="ERROR",FLSPI="ERROR"),"No",IF(TODAY()-'Look Ups'!$D$4*365&gt;I195,"WP Applied","Yes"))</f>
        <v>WP Applied</v>
      </c>
      <c r="H195" s="253" t="str">
        <f t="shared" si="31"/>
        <v>Main-Genoa-Spinnaker</v>
      </c>
      <c r="I195" s="1">
        <v>39354</v>
      </c>
      <c r="J195" s="1"/>
      <c r="K195" s="87" t="s">
        <v>706</v>
      </c>
      <c r="L195" s="87" t="s">
        <v>589</v>
      </c>
      <c r="M195" s="207"/>
      <c r="N195" s="88" t="s">
        <v>271</v>
      </c>
      <c r="O195" s="88"/>
      <c r="P195" s="89"/>
      <c r="Q195" s="90">
        <v>5.94</v>
      </c>
      <c r="R195" s="87"/>
      <c r="S195" s="256">
        <f t="shared" si="32"/>
        <v>0.14850000000000002</v>
      </c>
      <c r="T195" s="117">
        <v>0.37</v>
      </c>
      <c r="U195" s="117">
        <v>0</v>
      </c>
      <c r="V195" s="258">
        <f t="shared" si="33"/>
        <v>5.57</v>
      </c>
      <c r="W195" s="259">
        <f>IF(RL&gt;0,IF(RL&gt;'Look Ups'!Y$7,'Look Ups'!Y$8,('Look Ups'!Y$3*RL^3+'Look Ups'!Y$4*RL^2+'Look Ups'!Y$5*RL+'Look Ups'!Y$6)),0)</f>
        <v>0.28138282686900001</v>
      </c>
      <c r="X195" s="92">
        <v>785</v>
      </c>
      <c r="Y195" s="263">
        <f ca="1">IF(WDATE&lt;(TODAY()-'Look Ups'!$D$4*365),-WM*'Look Ups'!$D$5/100,0)</f>
        <v>-117.75</v>
      </c>
      <c r="Z195" s="103"/>
      <c r="AA195" s="109"/>
      <c r="AB195" s="109"/>
      <c r="AC195" s="265">
        <f>WCD+NC*'Look Ups'!$AF$3</f>
        <v>0</v>
      </c>
      <c r="AD195" s="265">
        <f ca="1">IF(RL&lt;'Look Ups'!AM$3,'Look Ups'!AM$4,IF(RL&gt;'Look Ups'!AM$5,'Look Ups'!AM$6,(RL-'Look Ups'!AM$3)/('Look Ups'!AM$5-'Look Ups'!AM$3)*('Look Ups'!AM$6-'Look Ups'!AM$4)+'Look Ups'!AM$4))/100*WS</f>
        <v>200.17499999999998</v>
      </c>
      <c r="AE195" s="269">
        <f t="shared" ca="1" si="34"/>
        <v>667.25</v>
      </c>
      <c r="AF195" s="267">
        <f t="shared" ca="1" si="35"/>
        <v>667.25</v>
      </c>
      <c r="AG195" s="94" t="s">
        <v>145</v>
      </c>
      <c r="AH195" s="95" t="s">
        <v>146</v>
      </c>
      <c r="AI195" s="96" t="s">
        <v>147</v>
      </c>
      <c r="AJ195" s="218"/>
      <c r="AK195" s="273">
        <f>IF(C195="",0,VLOOKUP(AG195,'Look Ups'!$F$3:$G$6,2,0)*VLOOKUP(AH195,'Look Ups'!$I$3:$J$5,2,0)*VLOOKUP(AI195,'Look Ups'!$L$3:$M$7,2,0)*IF(AJ195="",1,VLOOKUP(AJ195,'Look Ups'!$O$3:$P$4,2,0)))</f>
        <v>1</v>
      </c>
      <c r="AL195" s="83">
        <v>7.6</v>
      </c>
      <c r="AM195" s="91">
        <v>7.46</v>
      </c>
      <c r="AN195" s="91">
        <v>2.31</v>
      </c>
      <c r="AO195" s="91">
        <v>0.12</v>
      </c>
      <c r="AP195" s="91">
        <v>0.64</v>
      </c>
      <c r="AQ195" s="91">
        <v>7.35</v>
      </c>
      <c r="AR195" s="91">
        <v>0.13</v>
      </c>
      <c r="AS195" s="91">
        <v>2.4</v>
      </c>
      <c r="AT195" s="91">
        <v>0.05</v>
      </c>
      <c r="AU195" s="91"/>
      <c r="AV195" s="91" t="s">
        <v>148</v>
      </c>
      <c r="AW195" s="97">
        <v>0</v>
      </c>
      <c r="AX195" s="256">
        <f t="shared" si="36"/>
        <v>7.3999999999999995</v>
      </c>
      <c r="AY195" s="256">
        <f t="shared" si="37"/>
        <v>0</v>
      </c>
      <c r="AZ195" s="275">
        <f>IF(C195="",0,(0.5*(_ML1*LPM)+0.5*(_ML1*HB)+0.66*(P*PR)+0.66*(_ML2*RDM)+0.66*(E*ER))*VLOOKUP(BATT,'Look Ups'!$U$3:$V$4,2,0))</f>
        <v>13.094934</v>
      </c>
      <c r="BA195" s="98"/>
      <c r="BB195" s="99"/>
      <c r="BC195" s="83">
        <v>6.49</v>
      </c>
      <c r="BD195" s="91">
        <v>1.91</v>
      </c>
      <c r="BE195" s="91">
        <v>2.25</v>
      </c>
      <c r="BF195" s="91">
        <v>0.08</v>
      </c>
      <c r="BG195" s="91">
        <v>5.7</v>
      </c>
      <c r="BH195" s="91"/>
      <c r="BI195" s="91"/>
      <c r="BJ195" s="91">
        <v>0</v>
      </c>
      <c r="BK195" s="91">
        <v>0</v>
      </c>
      <c r="BL195" s="97">
        <v>0</v>
      </c>
      <c r="BM195" s="275">
        <f t="shared" si="38"/>
        <v>6.3167499999999999</v>
      </c>
      <c r="BN195" s="319"/>
      <c r="BO195" s="320"/>
      <c r="BP195" s="321"/>
      <c r="BQ195" s="321"/>
      <c r="BR195" s="320"/>
      <c r="BS195" s="321"/>
      <c r="BT195" s="321"/>
      <c r="BU195" s="280">
        <f t="shared" si="39"/>
        <v>0</v>
      </c>
      <c r="BV195" s="322"/>
      <c r="BW195" s="320"/>
      <c r="BX195" s="320"/>
      <c r="BY195" s="320"/>
      <c r="BZ195" s="320"/>
      <c r="CA195" s="320"/>
      <c r="CB195" s="320"/>
      <c r="CC195" s="275">
        <f t="shared" si="40"/>
        <v>0</v>
      </c>
      <c r="CD195" s="98">
        <v>4.9000000000000004</v>
      </c>
      <c r="CE195" s="91">
        <v>6.4</v>
      </c>
      <c r="CF195" s="91">
        <v>7.92</v>
      </c>
      <c r="CG195" s="91">
        <v>4.18</v>
      </c>
      <c r="CH195" s="266">
        <f t="shared" si="41"/>
        <v>85.306122448979579</v>
      </c>
      <c r="CI195" s="320"/>
      <c r="CJ195" s="280">
        <f t="shared" si="42"/>
        <v>25.799866666666667</v>
      </c>
      <c r="CK195" s="83"/>
      <c r="CL195" s="91"/>
      <c r="CM195" s="91"/>
      <c r="CN195" s="91"/>
      <c r="CO195" s="256" t="str">
        <f t="shared" si="43"/>
        <v/>
      </c>
      <c r="CP195" s="320"/>
      <c r="CQ195" s="256">
        <f t="shared" si="44"/>
        <v>0</v>
      </c>
      <c r="CR195" s="256" t="str">
        <f>IF(CO195&lt;'Look Ups'!$AC$4,"Yes","No")</f>
        <v>No</v>
      </c>
      <c r="CS195" s="293">
        <f>IF(CR195="Yes",MIN(150,('Look Ups'!$AC$4-PSCR)/('Look Ups'!$AC$4-'Look Ups'!$AC$3)*100),0)</f>
        <v>0</v>
      </c>
      <c r="CT195" s="83"/>
      <c r="CU195" s="91"/>
      <c r="CV195" s="91"/>
      <c r="CW195" s="91"/>
      <c r="CX195" s="256" t="str">
        <f t="shared" si="45"/>
        <v/>
      </c>
      <c r="CY195" s="293">
        <f>IF(PUSCR&lt;'Look Ups'!$AC$4,MIN(150,('Look Ups'!$AC$4-PUSCR)/('Look Ups'!$AC$4-'Look Ups'!$AC$3)*100),0)</f>
        <v>0</v>
      </c>
      <c r="CZ195" s="275">
        <f>IF(PUSCR&lt;'Look Ups'!$AC$4,USCRF*(USCRL1+USCRL2)/4+(USCRMG-USCRF/2)*(USCRL1+USCRL2)/3,0)</f>
        <v>0</v>
      </c>
      <c r="DA195" s="294">
        <f t="shared" si="46"/>
        <v>1</v>
      </c>
      <c r="DB195" s="256">
        <f t="shared" si="47"/>
        <v>13.094934</v>
      </c>
      <c r="DC195" s="256">
        <f t="shared" si="48"/>
        <v>1</v>
      </c>
      <c r="DD195" s="256">
        <f t="shared" si="49"/>
        <v>6.3167499999999999</v>
      </c>
      <c r="DE195" s="256">
        <f>IF(AZ195&gt;0,'Look Ups'!$S$3,0)</f>
        <v>1</v>
      </c>
      <c r="DF195" s="256">
        <f t="shared" si="50"/>
        <v>0</v>
      </c>
      <c r="DG195" s="256">
        <f t="shared" si="51"/>
        <v>0</v>
      </c>
      <c r="DH195" s="256">
        <f t="shared" si="52"/>
        <v>0</v>
      </c>
      <c r="DI195" s="280">
        <f t="shared" si="53"/>
        <v>0</v>
      </c>
      <c r="DJ195" s="295" t="str">
        <f t="shared" si="54"/>
        <v>-</v>
      </c>
      <c r="DK195" s="266" t="str">
        <f t="shared" si="55"/>
        <v>valid</v>
      </c>
      <c r="DL195" s="267" t="str">
        <f t="shared" si="56"/>
        <v>MGSP</v>
      </c>
      <c r="DM195" s="294">
        <f t="shared" si="57"/>
        <v>19.411684000000001</v>
      </c>
      <c r="DN195" s="256">
        <f>IF(MSASP&gt;0,'Look Ups'!$AI$4*(ZVAL*MSASP-RSAG),0)</f>
        <v>5.8449350000000004</v>
      </c>
      <c r="DO195" s="256">
        <f>IF(AND(MSASC&gt;0,(MSASC&gt;=0.36*RSAM)),('Look Ups'!$AI$3*(ZVAL*MSASC-RSAG)),(0))</f>
        <v>0</v>
      </c>
      <c r="DP195" s="256">
        <f>IF(MSASP&gt;0,'Look Ups'!$AI$5*(ZVAL*MSASP-RSAG),0)</f>
        <v>5.4552726666666675</v>
      </c>
      <c r="DQ195" s="256">
        <f>IF(MSASC&gt;0,'Look Ups'!$AI$6*(MSASC-RSAG),0)</f>
        <v>0</v>
      </c>
      <c r="DR195" s="280">
        <f>'Look Ups'!$AI$7*MAX(IF(MSAUSC&gt;0,EUSC/100*(MSAUSC-RSAG),0),IF(CR195="Yes",ELSC/100*(MSASC-RSAG),0))</f>
        <v>0</v>
      </c>
      <c r="DS195" s="280">
        <f t="shared" si="58"/>
        <v>4.7141762399999996</v>
      </c>
      <c r="DT195" s="296">
        <f t="shared" si="59"/>
        <v>25.256619000000001</v>
      </c>
      <c r="DU195" s="14"/>
    </row>
    <row r="196" spans="1:125" ht="15.6" customHeight="1" x14ac:dyDescent="0.3">
      <c r="A196" s="4"/>
      <c r="B196" s="365"/>
      <c r="C196" s="369" t="s">
        <v>707</v>
      </c>
      <c r="D196" s="370" t="s">
        <v>708</v>
      </c>
      <c r="E196" s="371" t="s">
        <v>444</v>
      </c>
      <c r="F196" s="252">
        <f t="shared" ca="1" si="30"/>
        <v>0.87</v>
      </c>
      <c r="G196" s="252" t="str">
        <f ca="1">IF(OR(FLSCR="ERROR",FLSPI="ERROR"),"No",IF(TODAY()-'Look Ups'!$D$4*365&gt;I196,"WP Applied","Yes"))</f>
        <v>WP Applied</v>
      </c>
      <c r="H196" s="253" t="str">
        <f t="shared" si="31"/>
        <v>Main-Genoa-Spinnaker</v>
      </c>
      <c r="I196" s="1">
        <v>37829</v>
      </c>
      <c r="J196" s="1"/>
      <c r="K196" s="87" t="s">
        <v>164</v>
      </c>
      <c r="L196" s="87" t="s">
        <v>589</v>
      </c>
      <c r="M196" s="207"/>
      <c r="N196" s="88" t="s">
        <v>271</v>
      </c>
      <c r="O196" s="88"/>
      <c r="P196" s="89">
        <v>5.5</v>
      </c>
      <c r="Q196" s="90">
        <v>7.49</v>
      </c>
      <c r="R196" s="87"/>
      <c r="S196" s="256">
        <f t="shared" si="32"/>
        <v>0.18725000000000003</v>
      </c>
      <c r="T196" s="117">
        <v>0.23</v>
      </c>
      <c r="U196" s="117">
        <v>0</v>
      </c>
      <c r="V196" s="258">
        <f t="shared" si="33"/>
        <v>7.26</v>
      </c>
      <c r="W196" s="259">
        <f>IF(RL&gt;0,IF(RL&gt;'Look Ups'!Y$7,'Look Ups'!Y$8,('Look Ups'!Y$3*RL^3+'Look Ups'!Y$4*RL^2+'Look Ups'!Y$5*RL+'Look Ups'!Y$6)),0)</f>
        <v>0.290907046808</v>
      </c>
      <c r="X196" s="92">
        <v>905</v>
      </c>
      <c r="Y196" s="263">
        <f ca="1">IF(WDATE&lt;(TODAY()-'Look Ups'!$D$4*365),-WM*'Look Ups'!$D$5/100,0)</f>
        <v>-135.75</v>
      </c>
      <c r="Z196" s="103"/>
      <c r="AA196" s="109"/>
      <c r="AB196" s="109"/>
      <c r="AC196" s="265">
        <f>WCD+NC*'Look Ups'!$AF$3</f>
        <v>0</v>
      </c>
      <c r="AD196" s="265">
        <f ca="1">IF(RL&lt;'Look Ups'!AM$3,'Look Ups'!AM$4,IF(RL&gt;'Look Ups'!AM$5,'Look Ups'!AM$6,(RL-'Look Ups'!AM$3)/('Look Ups'!AM$5-'Look Ups'!AM$3)*('Look Ups'!AM$6-'Look Ups'!AM$4)+'Look Ups'!AM$4))/100*WS</f>
        <v>215.11027272727273</v>
      </c>
      <c r="AE196" s="269">
        <f t="shared" ca="1" si="34"/>
        <v>769.25</v>
      </c>
      <c r="AF196" s="267">
        <f t="shared" ca="1" si="35"/>
        <v>769.25</v>
      </c>
      <c r="AG196" s="94" t="s">
        <v>145</v>
      </c>
      <c r="AH196" s="95" t="s">
        <v>146</v>
      </c>
      <c r="AI196" s="96" t="s">
        <v>147</v>
      </c>
      <c r="AJ196" s="218"/>
      <c r="AK196" s="273">
        <f>IF(C196="",0,VLOOKUP(AG196,'Look Ups'!$F$3:$G$6,2,0)*VLOOKUP(AH196,'Look Ups'!$I$3:$J$5,2,0)*VLOOKUP(AI196,'Look Ups'!$L$3:$M$7,2,0)*IF(AJ196="",1,VLOOKUP(AJ196,'Look Ups'!$O$3:$P$4,2,0)))</f>
        <v>1</v>
      </c>
      <c r="AL196" s="83">
        <v>9.23</v>
      </c>
      <c r="AM196" s="91">
        <v>8.9700000000000006</v>
      </c>
      <c r="AN196" s="91">
        <v>3.29</v>
      </c>
      <c r="AO196" s="91">
        <v>0.73</v>
      </c>
      <c r="AP196" s="91">
        <v>0.62</v>
      </c>
      <c r="AQ196" s="91">
        <v>8.7799999999999994</v>
      </c>
      <c r="AR196" s="91">
        <v>0.09</v>
      </c>
      <c r="AS196" s="91">
        <v>3.48</v>
      </c>
      <c r="AT196" s="91">
        <v>0.02</v>
      </c>
      <c r="AU196" s="91">
        <v>0.41</v>
      </c>
      <c r="AV196" s="91" t="s">
        <v>148</v>
      </c>
      <c r="AW196" s="97">
        <v>0</v>
      </c>
      <c r="AX196" s="256">
        <f t="shared" si="36"/>
        <v>8.7999999999999989</v>
      </c>
      <c r="AY196" s="256">
        <f t="shared" si="37"/>
        <v>1.3499249999999998</v>
      </c>
      <c r="AZ196" s="275">
        <f>IF(C196="",0,(0.5*(_ML1*LPM)+0.5*(_ML1*HB)+0.66*(P*PR)+0.66*(_ML2*RDM)+0.66*(E*ER))*VLOOKUP(BATT,'Look Ups'!$U$3:$V$4,2,0))</f>
        <v>22.790292000000004</v>
      </c>
      <c r="BA196" s="98"/>
      <c r="BB196" s="99"/>
      <c r="BC196" s="83">
        <v>8.34</v>
      </c>
      <c r="BD196" s="91">
        <v>2.63</v>
      </c>
      <c r="BE196" s="91">
        <v>2.95</v>
      </c>
      <c r="BF196" s="91">
        <v>9.5000000000000001E-2</v>
      </c>
      <c r="BG196" s="91">
        <v>7.38</v>
      </c>
      <c r="BH196" s="91"/>
      <c r="BI196" s="91"/>
      <c r="BJ196" s="91">
        <v>-0.09</v>
      </c>
      <c r="BK196" s="91">
        <v>0</v>
      </c>
      <c r="BL196" s="97"/>
      <c r="BM196" s="275">
        <f t="shared" si="38"/>
        <v>10.713692999999999</v>
      </c>
      <c r="BN196" s="319"/>
      <c r="BO196" s="320"/>
      <c r="BP196" s="321"/>
      <c r="BQ196" s="321"/>
      <c r="BR196" s="320"/>
      <c r="BS196" s="321"/>
      <c r="BT196" s="321"/>
      <c r="BU196" s="280">
        <f t="shared" si="39"/>
        <v>0</v>
      </c>
      <c r="BV196" s="322"/>
      <c r="BW196" s="320"/>
      <c r="BX196" s="320"/>
      <c r="BY196" s="320"/>
      <c r="BZ196" s="320"/>
      <c r="CA196" s="320"/>
      <c r="CB196" s="320"/>
      <c r="CC196" s="275">
        <f t="shared" si="40"/>
        <v>0</v>
      </c>
      <c r="CD196" s="98">
        <v>6.28</v>
      </c>
      <c r="CE196" s="91">
        <v>10.029999999999999</v>
      </c>
      <c r="CF196" s="91">
        <v>8.08</v>
      </c>
      <c r="CG196" s="91">
        <v>5.39</v>
      </c>
      <c r="CH196" s="266">
        <f t="shared" si="41"/>
        <v>85.828025477706987</v>
      </c>
      <c r="CI196" s="320"/>
      <c r="CJ196" s="280">
        <f t="shared" si="42"/>
        <v>42.015199999999993</v>
      </c>
      <c r="CK196" s="83"/>
      <c r="CL196" s="91"/>
      <c r="CM196" s="91"/>
      <c r="CN196" s="91"/>
      <c r="CO196" s="256" t="str">
        <f t="shared" si="43"/>
        <v/>
      </c>
      <c r="CP196" s="320"/>
      <c r="CQ196" s="256">
        <f t="shared" si="44"/>
        <v>0</v>
      </c>
      <c r="CR196" s="256" t="str">
        <f>IF(CO196&lt;'Look Ups'!$AC$4,"Yes","No")</f>
        <v>No</v>
      </c>
      <c r="CS196" s="293">
        <f>IF(CR196="Yes",MIN(150,('Look Ups'!$AC$4-PSCR)/('Look Ups'!$AC$4-'Look Ups'!$AC$3)*100),0)</f>
        <v>0</v>
      </c>
      <c r="CT196" s="83"/>
      <c r="CU196" s="91"/>
      <c r="CV196" s="91"/>
      <c r="CW196" s="91"/>
      <c r="CX196" s="256" t="str">
        <f t="shared" si="45"/>
        <v/>
      </c>
      <c r="CY196" s="293">
        <f>IF(PUSCR&lt;'Look Ups'!$AC$4,MIN(150,('Look Ups'!$AC$4-PUSCR)/('Look Ups'!$AC$4-'Look Ups'!$AC$3)*100),0)</f>
        <v>0</v>
      </c>
      <c r="CZ196" s="275">
        <f>IF(PUSCR&lt;'Look Ups'!$AC$4,USCRF*(USCRL1+USCRL2)/4+(USCRMG-USCRF/2)*(USCRL1+USCRL2)/3,0)</f>
        <v>0</v>
      </c>
      <c r="DA196" s="294">
        <f t="shared" si="46"/>
        <v>1</v>
      </c>
      <c r="DB196" s="256">
        <f t="shared" si="47"/>
        <v>24.140217000000003</v>
      </c>
      <c r="DC196" s="256">
        <f t="shared" si="48"/>
        <v>1</v>
      </c>
      <c r="DD196" s="256">
        <f t="shared" si="49"/>
        <v>10.713692999999999</v>
      </c>
      <c r="DE196" s="256">
        <f>IF(AZ196&gt;0,'Look Ups'!$S$3,0)</f>
        <v>1</v>
      </c>
      <c r="DF196" s="256">
        <f t="shared" si="50"/>
        <v>0</v>
      </c>
      <c r="DG196" s="256">
        <f t="shared" si="51"/>
        <v>0</v>
      </c>
      <c r="DH196" s="256">
        <f t="shared" si="52"/>
        <v>0</v>
      </c>
      <c r="DI196" s="280">
        <f t="shared" si="53"/>
        <v>0</v>
      </c>
      <c r="DJ196" s="295" t="str">
        <f t="shared" si="54"/>
        <v>-</v>
      </c>
      <c r="DK196" s="266" t="str">
        <f t="shared" si="55"/>
        <v>valid</v>
      </c>
      <c r="DL196" s="267" t="str">
        <f t="shared" si="56"/>
        <v>MGSP</v>
      </c>
      <c r="DM196" s="294">
        <f t="shared" si="57"/>
        <v>34.853909999999999</v>
      </c>
      <c r="DN196" s="256">
        <f>IF(MSASP&gt;0,'Look Ups'!$AI$4*(ZVAL*MSASP-RSAG),0)</f>
        <v>9.3904520999999974</v>
      </c>
      <c r="DO196" s="256">
        <f>IF(AND(MSASC&gt;0,(MSASC&gt;=0.36*RSAM)),('Look Ups'!$AI$3*(ZVAL*MSASC-RSAG)),(0))</f>
        <v>0</v>
      </c>
      <c r="DP196" s="256">
        <f>IF(MSASP&gt;0,'Look Ups'!$AI$5*(ZVAL*MSASP-RSAG),0)</f>
        <v>8.76442196</v>
      </c>
      <c r="DQ196" s="256">
        <f>IF(MSASC&gt;0,'Look Ups'!$AI$6*(MSASC-RSAG),0)</f>
        <v>0</v>
      </c>
      <c r="DR196" s="280">
        <f>'Look Ups'!$AI$7*MAX(IF(MSAUSC&gt;0,EUSC/100*(MSAUSC-RSAG),0),IF(CR196="Yes",ELSC/100*(MSASC-RSAG),0))</f>
        <v>0</v>
      </c>
      <c r="DS196" s="280">
        <f t="shared" si="58"/>
        <v>8.6904781200000016</v>
      </c>
      <c r="DT196" s="296">
        <f t="shared" si="59"/>
        <v>44.244362099999996</v>
      </c>
      <c r="DU196" s="14"/>
    </row>
    <row r="197" spans="1:125" ht="15.6" customHeight="1" x14ac:dyDescent="0.3">
      <c r="A197" s="4"/>
      <c r="B197" s="365"/>
      <c r="C197" s="369" t="s">
        <v>709</v>
      </c>
      <c r="D197" s="370" t="s">
        <v>710</v>
      </c>
      <c r="E197" s="371" t="s">
        <v>711</v>
      </c>
      <c r="F197" s="252">
        <f t="shared" ca="1" si="30"/>
        <v>0.871</v>
      </c>
      <c r="G197" s="252" t="str">
        <f ca="1">IF(OR(FLSCR="ERROR",FLSPI="ERROR"),"No",IF(TODAY()-'Look Ups'!$D$4*365&gt;I197,"WP Applied","Yes"))</f>
        <v>WP Applied</v>
      </c>
      <c r="H197" s="253" t="str">
        <f t="shared" si="31"/>
        <v>Main-Genoa-Spinnaker</v>
      </c>
      <c r="I197" s="1">
        <v>37829</v>
      </c>
      <c r="J197" s="1"/>
      <c r="K197" s="87" t="s">
        <v>176</v>
      </c>
      <c r="L197" s="87" t="s">
        <v>589</v>
      </c>
      <c r="M197" s="207"/>
      <c r="N197" s="88" t="s">
        <v>208</v>
      </c>
      <c r="O197" s="88"/>
      <c r="P197" s="89">
        <v>6</v>
      </c>
      <c r="Q197" s="90">
        <v>7.91</v>
      </c>
      <c r="R197" s="87"/>
      <c r="S197" s="256">
        <f t="shared" si="32"/>
        <v>0.19775000000000001</v>
      </c>
      <c r="T197" s="117">
        <v>0.30000000000000004</v>
      </c>
      <c r="U197" s="117">
        <v>0</v>
      </c>
      <c r="V197" s="258">
        <f t="shared" si="33"/>
        <v>7.61</v>
      </c>
      <c r="W197" s="259">
        <f>IF(RL&gt;0,IF(RL&gt;'Look Ups'!Y$7,'Look Ups'!Y$8,('Look Ups'!Y$3*RL^3+'Look Ups'!Y$4*RL^2+'Look Ups'!Y$5*RL+'Look Ups'!Y$6)),0)</f>
        <v>0.292361525673</v>
      </c>
      <c r="X197" s="92">
        <v>1220</v>
      </c>
      <c r="Y197" s="263">
        <f ca="1">IF(WDATE&lt;(TODAY()-'Look Ups'!$D$4*365),-WM*'Look Ups'!$D$5/100,0)</f>
        <v>-183</v>
      </c>
      <c r="Z197" s="103"/>
      <c r="AA197" s="109"/>
      <c r="AB197" s="109"/>
      <c r="AC197" s="265">
        <f>WCD+NC*'Look Ups'!$AF$3</f>
        <v>0</v>
      </c>
      <c r="AD197" s="265">
        <f ca="1">IF(RL&lt;'Look Ups'!AM$3,'Look Ups'!AM$4,IF(RL&gt;'Look Ups'!AM$5,'Look Ups'!AM$6,(RL-'Look Ups'!AM$3)/('Look Ups'!AM$5-'Look Ups'!AM$3)*('Look Ups'!AM$6-'Look Ups'!AM$4)+'Look Ups'!AM$4))/100*WS</f>
        <v>276.78472727272725</v>
      </c>
      <c r="AE197" s="269">
        <f t="shared" ca="1" si="34"/>
        <v>1037</v>
      </c>
      <c r="AF197" s="267">
        <f t="shared" ca="1" si="35"/>
        <v>1037</v>
      </c>
      <c r="AG197" s="94" t="s">
        <v>145</v>
      </c>
      <c r="AH197" s="95" t="s">
        <v>146</v>
      </c>
      <c r="AI197" s="96" t="s">
        <v>147</v>
      </c>
      <c r="AJ197" s="218"/>
      <c r="AK197" s="273">
        <f>IF(C197="",0,VLOOKUP(AG197,'Look Ups'!$F$3:$G$6,2,0)*VLOOKUP(AH197,'Look Ups'!$I$3:$J$5,2,0)*VLOOKUP(AI197,'Look Ups'!$L$3:$M$7,2,0)*IF(AJ197="",1,VLOOKUP(AJ197,'Look Ups'!$O$3:$P$4,2,0)))</f>
        <v>1</v>
      </c>
      <c r="AL197" s="83">
        <v>9.82</v>
      </c>
      <c r="AM197" s="91">
        <v>9.6199999999999992</v>
      </c>
      <c r="AN197" s="91">
        <v>2.71</v>
      </c>
      <c r="AO197" s="91">
        <v>0.71</v>
      </c>
      <c r="AP197" s="91">
        <v>0.64</v>
      </c>
      <c r="AQ197" s="91">
        <v>9.6999999999999993</v>
      </c>
      <c r="AR197" s="91">
        <v>0.1</v>
      </c>
      <c r="AS197" s="91">
        <v>2.77</v>
      </c>
      <c r="AT197" s="91">
        <v>0</v>
      </c>
      <c r="AU197" s="91">
        <v>0.42</v>
      </c>
      <c r="AV197" s="91" t="s">
        <v>148</v>
      </c>
      <c r="AW197" s="97">
        <v>0</v>
      </c>
      <c r="AX197" s="256">
        <f t="shared" si="36"/>
        <v>9.6999999999999993</v>
      </c>
      <c r="AY197" s="256">
        <f t="shared" si="37"/>
        <v>1.5277499999999999</v>
      </c>
      <c r="AZ197" s="275">
        <f>IF(C197="",0,(0.5*(_ML1*LPM)+0.5*(_ML1*HB)+0.66*(P*PR)+0.66*(_ML2*RDM)+0.66*(E*ER))*VLOOKUP(BATT,'Look Ups'!$U$3:$V$4,2,0))</f>
        <v>21.495888000000001</v>
      </c>
      <c r="BA197" s="98"/>
      <c r="BB197" s="99"/>
      <c r="BC197" s="83">
        <v>9.06</v>
      </c>
      <c r="BD197" s="91">
        <v>2.97</v>
      </c>
      <c r="BE197" s="91">
        <v>3.32</v>
      </c>
      <c r="BF197" s="91">
        <v>0.03</v>
      </c>
      <c r="BG197" s="91">
        <v>8.0299999999999994</v>
      </c>
      <c r="BH197" s="91"/>
      <c r="BI197" s="91"/>
      <c r="BJ197" s="91">
        <v>-0.28999999999999998</v>
      </c>
      <c r="BK197" s="91">
        <v>0.04</v>
      </c>
      <c r="BL197" s="97"/>
      <c r="BM197" s="275">
        <f t="shared" si="38"/>
        <v>12.222078000000002</v>
      </c>
      <c r="BN197" s="319"/>
      <c r="BO197" s="320"/>
      <c r="BP197" s="321"/>
      <c r="BQ197" s="321"/>
      <c r="BR197" s="320"/>
      <c r="BS197" s="321"/>
      <c r="BT197" s="321"/>
      <c r="BU197" s="280">
        <f t="shared" si="39"/>
        <v>0</v>
      </c>
      <c r="BV197" s="322"/>
      <c r="BW197" s="320"/>
      <c r="BX197" s="320"/>
      <c r="BY197" s="320"/>
      <c r="BZ197" s="320"/>
      <c r="CA197" s="320"/>
      <c r="CB197" s="320"/>
      <c r="CC197" s="275">
        <f t="shared" si="40"/>
        <v>0</v>
      </c>
      <c r="CD197" s="98">
        <v>7.8</v>
      </c>
      <c r="CE197" s="91">
        <v>12.36</v>
      </c>
      <c r="CF197" s="91">
        <v>12.23</v>
      </c>
      <c r="CG197" s="91">
        <v>7.29</v>
      </c>
      <c r="CH197" s="266">
        <f t="shared" si="41"/>
        <v>93.461538461538467</v>
      </c>
      <c r="CI197" s="320"/>
      <c r="CJ197" s="280">
        <f t="shared" si="42"/>
        <v>75.737200000000001</v>
      </c>
      <c r="CK197" s="83"/>
      <c r="CL197" s="91"/>
      <c r="CM197" s="91"/>
      <c r="CN197" s="91"/>
      <c r="CO197" s="256" t="str">
        <f t="shared" si="43"/>
        <v/>
      </c>
      <c r="CP197" s="320"/>
      <c r="CQ197" s="256">
        <f t="shared" si="44"/>
        <v>0</v>
      </c>
      <c r="CR197" s="256" t="str">
        <f>IF(CO197&lt;'Look Ups'!$AC$4,"Yes","No")</f>
        <v>No</v>
      </c>
      <c r="CS197" s="293">
        <f>IF(CR197="Yes",MIN(150,('Look Ups'!$AC$4-PSCR)/('Look Ups'!$AC$4-'Look Ups'!$AC$3)*100),0)</f>
        <v>0</v>
      </c>
      <c r="CT197" s="83"/>
      <c r="CU197" s="91"/>
      <c r="CV197" s="91"/>
      <c r="CW197" s="91"/>
      <c r="CX197" s="256" t="str">
        <f t="shared" si="45"/>
        <v/>
      </c>
      <c r="CY197" s="293">
        <f>IF(PUSCR&lt;'Look Ups'!$AC$4,MIN(150,('Look Ups'!$AC$4-PUSCR)/('Look Ups'!$AC$4-'Look Ups'!$AC$3)*100),0)</f>
        <v>0</v>
      </c>
      <c r="CZ197" s="275">
        <f>IF(PUSCR&lt;'Look Ups'!$AC$4,USCRF*(USCRL1+USCRL2)/4+(USCRMG-USCRF/2)*(USCRL1+USCRL2)/3,0)</f>
        <v>0</v>
      </c>
      <c r="DA197" s="294">
        <f t="shared" si="46"/>
        <v>1</v>
      </c>
      <c r="DB197" s="256">
        <f t="shared" si="47"/>
        <v>23.023638000000002</v>
      </c>
      <c r="DC197" s="256">
        <f t="shared" si="48"/>
        <v>1</v>
      </c>
      <c r="DD197" s="256">
        <f t="shared" si="49"/>
        <v>12.222078000000002</v>
      </c>
      <c r="DE197" s="256">
        <f>IF(AZ197&gt;0,'Look Ups'!$S$3,0)</f>
        <v>1</v>
      </c>
      <c r="DF197" s="256">
        <f t="shared" si="50"/>
        <v>0</v>
      </c>
      <c r="DG197" s="256">
        <f t="shared" si="51"/>
        <v>0</v>
      </c>
      <c r="DH197" s="256">
        <f t="shared" si="52"/>
        <v>0</v>
      </c>
      <c r="DI197" s="280">
        <f t="shared" si="53"/>
        <v>0</v>
      </c>
      <c r="DJ197" s="295" t="str">
        <f t="shared" si="54"/>
        <v>-</v>
      </c>
      <c r="DK197" s="266" t="str">
        <f t="shared" si="55"/>
        <v>valid</v>
      </c>
      <c r="DL197" s="267" t="str">
        <f t="shared" si="56"/>
        <v>MGSP</v>
      </c>
      <c r="DM197" s="294">
        <f t="shared" si="57"/>
        <v>35.245716000000002</v>
      </c>
      <c r="DN197" s="256">
        <f>IF(MSASP&gt;0,'Look Ups'!$AI$4*(ZVAL*MSASP-RSAG),0)</f>
        <v>19.054536599999999</v>
      </c>
      <c r="DO197" s="256">
        <f>IF(AND(MSASC&gt;0,(MSASC&gt;=0.36*RSAM)),('Look Ups'!$AI$3*(ZVAL*MSASC-RSAG)),(0))</f>
        <v>0</v>
      </c>
      <c r="DP197" s="256">
        <f>IF(MSASP&gt;0,'Look Ups'!$AI$5*(ZVAL*MSASP-RSAG),0)</f>
        <v>17.78423416</v>
      </c>
      <c r="DQ197" s="256">
        <f>IF(MSASC&gt;0,'Look Ups'!$AI$6*(MSASC-RSAG),0)</f>
        <v>0</v>
      </c>
      <c r="DR197" s="280">
        <f>'Look Ups'!$AI$7*MAX(IF(MSAUSC&gt;0,EUSC/100*(MSAUSC-RSAG),0),IF(CR197="Yes",ELSC/100*(MSASC-RSAG),0))</f>
        <v>0</v>
      </c>
      <c r="DS197" s="280">
        <f t="shared" si="58"/>
        <v>8.2885096800000007</v>
      </c>
      <c r="DT197" s="296">
        <f t="shared" si="59"/>
        <v>54.3002526</v>
      </c>
      <c r="DU197" s="14"/>
    </row>
    <row r="198" spans="1:125" ht="15.6" customHeight="1" x14ac:dyDescent="0.3">
      <c r="A198" s="4"/>
      <c r="B198" s="365"/>
      <c r="C198" s="369" t="s">
        <v>712</v>
      </c>
      <c r="D198" s="370" t="s">
        <v>713</v>
      </c>
      <c r="E198" s="371" t="s">
        <v>714</v>
      </c>
      <c r="F198" s="252">
        <f t="shared" ca="1" si="30"/>
        <v>0.77800000000000002</v>
      </c>
      <c r="G198" s="252" t="str">
        <f ca="1">IF(OR(FLSCR="ERROR",FLSPI="ERROR"),"No",IF(TODAY()-'Look Ups'!$D$4*365&gt;I198,"WP Applied","Yes"))</f>
        <v>WP Applied</v>
      </c>
      <c r="H198" s="253" t="str">
        <f t="shared" si="31"/>
        <v>Main-Genoa-Spinnaker</v>
      </c>
      <c r="I198" s="1">
        <v>35893</v>
      </c>
      <c r="J198" s="1"/>
      <c r="K198" s="87" t="s">
        <v>715</v>
      </c>
      <c r="L198" s="87" t="s">
        <v>589</v>
      </c>
      <c r="M198" s="207"/>
      <c r="N198" s="88" t="s">
        <v>165</v>
      </c>
      <c r="O198" s="88"/>
      <c r="P198" s="89">
        <v>5.4</v>
      </c>
      <c r="Q198" s="90">
        <v>7.85</v>
      </c>
      <c r="R198" s="87"/>
      <c r="S198" s="256">
        <f t="shared" si="32"/>
        <v>0.19625000000000001</v>
      </c>
      <c r="T198" s="117">
        <v>0.1</v>
      </c>
      <c r="U198" s="117">
        <v>0</v>
      </c>
      <c r="V198" s="258">
        <f t="shared" si="33"/>
        <v>7.75</v>
      </c>
      <c r="W198" s="259">
        <f>IF(RL&gt;0,IF(RL&gt;'Look Ups'!Y$7,'Look Ups'!Y$8,('Look Ups'!Y$3*RL^3+'Look Ups'!Y$4*RL^2+'Look Ups'!Y$5*RL+'Look Ups'!Y$6)),0)</f>
        <v>0.29289848437500005</v>
      </c>
      <c r="X198" s="92">
        <v>2231</v>
      </c>
      <c r="Y198" s="263">
        <f ca="1">IF(WDATE&lt;(TODAY()-'Look Ups'!$D$4*365),-WM*'Look Ups'!$D$5/100,0)</f>
        <v>-334.65</v>
      </c>
      <c r="Z198" s="103"/>
      <c r="AA198" s="109"/>
      <c r="AB198" s="109"/>
      <c r="AC198" s="265">
        <f>WCD+NC*'Look Ups'!$AF$3</f>
        <v>0</v>
      </c>
      <c r="AD198" s="265">
        <f ca="1">IF(RL&lt;'Look Ups'!AM$3,'Look Ups'!AM$4,IF(RL&gt;'Look Ups'!AM$5,'Look Ups'!AM$6,(RL-'Look Ups'!AM$3)/('Look Ups'!AM$5-'Look Ups'!AM$3)*('Look Ups'!AM$6-'Look Ups'!AM$4)+'Look Ups'!AM$4))/100*WS</f>
        <v>496.49890909090902</v>
      </c>
      <c r="AE198" s="269">
        <f t="shared" ca="1" si="34"/>
        <v>1896.35</v>
      </c>
      <c r="AF198" s="267">
        <f t="shared" ca="1" si="35"/>
        <v>1896.35</v>
      </c>
      <c r="AG198" s="94" t="s">
        <v>145</v>
      </c>
      <c r="AH198" s="95" t="s">
        <v>146</v>
      </c>
      <c r="AI198" s="96" t="s">
        <v>147</v>
      </c>
      <c r="AJ198" s="218"/>
      <c r="AK198" s="273">
        <f>IF(C198="",0,VLOOKUP(AG198,'Look Ups'!$F$3:$G$6,2,0)*VLOOKUP(AH198,'Look Ups'!$I$3:$J$5,2,0)*VLOOKUP(AI198,'Look Ups'!$L$3:$M$7,2,0)*IF(AJ198="",1,VLOOKUP(AJ198,'Look Ups'!$O$3:$P$4,2,0)))</f>
        <v>1</v>
      </c>
      <c r="AL198" s="83">
        <v>10.88</v>
      </c>
      <c r="AM198" s="91">
        <v>10.84</v>
      </c>
      <c r="AN198" s="91">
        <v>3.35</v>
      </c>
      <c r="AO198" s="91">
        <v>0.15</v>
      </c>
      <c r="AP198" s="91">
        <v>1.34</v>
      </c>
      <c r="AQ198" s="91">
        <v>10.6</v>
      </c>
      <c r="AR198" s="91">
        <v>0.09</v>
      </c>
      <c r="AS198" s="91">
        <v>3.45</v>
      </c>
      <c r="AT198" s="91">
        <v>0.03</v>
      </c>
      <c r="AU198" s="91">
        <v>0.36</v>
      </c>
      <c r="AV198" s="91" t="s">
        <v>148</v>
      </c>
      <c r="AW198" s="97">
        <v>0</v>
      </c>
      <c r="AX198" s="256">
        <f t="shared" si="36"/>
        <v>10.629999999999999</v>
      </c>
      <c r="AY198" s="256">
        <f t="shared" si="37"/>
        <v>1.4309999999999998</v>
      </c>
      <c r="AZ198" s="275">
        <f>IF(C198="",0,(0.5*(_ML1*LPM)+0.5*(_ML1*HB)+0.66*(P*PR)+0.66*(_ML2*RDM)+0.66*(E*ER))*VLOOKUP(BATT,'Look Ups'!$U$3:$V$4,2,0))</f>
        <v>29.324845999999997</v>
      </c>
      <c r="BA198" s="98"/>
      <c r="BB198" s="99"/>
      <c r="BC198" s="83">
        <v>10.35</v>
      </c>
      <c r="BD198" s="91">
        <v>3.65</v>
      </c>
      <c r="BE198" s="91">
        <v>4.17</v>
      </c>
      <c r="BF198" s="91">
        <v>0.09</v>
      </c>
      <c r="BG198" s="91">
        <v>9.07</v>
      </c>
      <c r="BH198" s="91"/>
      <c r="BI198" s="91"/>
      <c r="BJ198" s="91">
        <v>-0.155</v>
      </c>
      <c r="BK198" s="91">
        <v>-0.06</v>
      </c>
      <c r="BL198" s="97"/>
      <c r="BM198" s="275">
        <f t="shared" si="38"/>
        <v>17.798727</v>
      </c>
      <c r="BN198" s="319"/>
      <c r="BO198" s="320"/>
      <c r="BP198" s="321"/>
      <c r="BQ198" s="321"/>
      <c r="BR198" s="320"/>
      <c r="BS198" s="321"/>
      <c r="BT198" s="321"/>
      <c r="BU198" s="280">
        <f t="shared" si="39"/>
        <v>0</v>
      </c>
      <c r="BV198" s="322"/>
      <c r="BW198" s="320"/>
      <c r="BX198" s="320"/>
      <c r="BY198" s="320"/>
      <c r="BZ198" s="320"/>
      <c r="CA198" s="320"/>
      <c r="CB198" s="320"/>
      <c r="CC198" s="275">
        <f t="shared" si="40"/>
        <v>0</v>
      </c>
      <c r="CD198" s="98">
        <v>7.72</v>
      </c>
      <c r="CE198" s="91">
        <v>12.9</v>
      </c>
      <c r="CF198" s="91">
        <v>11.8</v>
      </c>
      <c r="CG198" s="91">
        <v>7.25</v>
      </c>
      <c r="CH198" s="266">
        <f t="shared" si="41"/>
        <v>93.911917098445599</v>
      </c>
      <c r="CI198" s="320"/>
      <c r="CJ198" s="280">
        <f t="shared" si="42"/>
        <v>75.582000000000008</v>
      </c>
      <c r="CK198" s="83"/>
      <c r="CL198" s="91"/>
      <c r="CM198" s="91"/>
      <c r="CN198" s="91"/>
      <c r="CO198" s="256" t="str">
        <f t="shared" si="43"/>
        <v/>
      </c>
      <c r="CP198" s="320"/>
      <c r="CQ198" s="256">
        <f t="shared" si="44"/>
        <v>0</v>
      </c>
      <c r="CR198" s="256" t="str">
        <f>IF(CO198&lt;'Look Ups'!$AC$4,"Yes","No")</f>
        <v>No</v>
      </c>
      <c r="CS198" s="293">
        <f>IF(CR198="Yes",MIN(150,('Look Ups'!$AC$4-PSCR)/('Look Ups'!$AC$4-'Look Ups'!$AC$3)*100),0)</f>
        <v>0</v>
      </c>
      <c r="CT198" s="83"/>
      <c r="CU198" s="91"/>
      <c r="CV198" s="91"/>
      <c r="CW198" s="91"/>
      <c r="CX198" s="256" t="str">
        <f t="shared" si="45"/>
        <v/>
      </c>
      <c r="CY198" s="293">
        <f>IF(PUSCR&lt;'Look Ups'!$AC$4,MIN(150,('Look Ups'!$AC$4-PUSCR)/('Look Ups'!$AC$4-'Look Ups'!$AC$3)*100),0)</f>
        <v>0</v>
      </c>
      <c r="CZ198" s="275">
        <f>IF(PUSCR&lt;'Look Ups'!$AC$4,USCRF*(USCRL1+USCRL2)/4+(USCRMG-USCRF/2)*(USCRL1+USCRL2)/3,0)</f>
        <v>0</v>
      </c>
      <c r="DA198" s="294">
        <f t="shared" si="46"/>
        <v>1</v>
      </c>
      <c r="DB198" s="256">
        <f t="shared" si="47"/>
        <v>30.755845999999998</v>
      </c>
      <c r="DC198" s="256">
        <f t="shared" si="48"/>
        <v>1</v>
      </c>
      <c r="DD198" s="256">
        <f t="shared" si="49"/>
        <v>17.798727</v>
      </c>
      <c r="DE198" s="256">
        <f>IF(AZ198&gt;0,'Look Ups'!$S$3,0)</f>
        <v>1</v>
      </c>
      <c r="DF198" s="256">
        <f t="shared" si="50"/>
        <v>0</v>
      </c>
      <c r="DG198" s="256">
        <f t="shared" si="51"/>
        <v>0</v>
      </c>
      <c r="DH198" s="256">
        <f t="shared" si="52"/>
        <v>0</v>
      </c>
      <c r="DI198" s="280">
        <f t="shared" si="53"/>
        <v>0</v>
      </c>
      <c r="DJ198" s="295" t="str">
        <f t="shared" si="54"/>
        <v>-</v>
      </c>
      <c r="DK198" s="266" t="str">
        <f t="shared" si="55"/>
        <v>valid</v>
      </c>
      <c r="DL198" s="267" t="str">
        <f t="shared" si="56"/>
        <v>MGSP</v>
      </c>
      <c r="DM198" s="294">
        <f t="shared" si="57"/>
        <v>48.554572999999998</v>
      </c>
      <c r="DN198" s="256">
        <f>IF(MSASP&gt;0,'Look Ups'!$AI$4*(ZVAL*MSASP-RSAG),0)</f>
        <v>17.334981900000002</v>
      </c>
      <c r="DO198" s="256">
        <f>IF(AND(MSASC&gt;0,(MSASC&gt;=0.36*RSAM)),('Look Ups'!$AI$3*(ZVAL*MSASC-RSAG)),(0))</f>
        <v>0</v>
      </c>
      <c r="DP198" s="256">
        <f>IF(MSASP&gt;0,'Look Ups'!$AI$5*(ZVAL*MSASP-RSAG),0)</f>
        <v>16.179316440000004</v>
      </c>
      <c r="DQ198" s="256">
        <f>IF(MSASC&gt;0,'Look Ups'!$AI$6*(MSASC-RSAG),0)</f>
        <v>0</v>
      </c>
      <c r="DR198" s="280">
        <f>'Look Ups'!$AI$7*MAX(IF(MSAUSC&gt;0,EUSC/100*(MSAUSC-RSAG),0),IF(CR198="Yes",ELSC/100*(MSASC-RSAG),0))</f>
        <v>0</v>
      </c>
      <c r="DS198" s="280">
        <f t="shared" si="58"/>
        <v>11.07210456</v>
      </c>
      <c r="DT198" s="296">
        <f t="shared" si="59"/>
        <v>65.889554900000007</v>
      </c>
      <c r="DU198" s="14"/>
    </row>
    <row r="199" spans="1:125" ht="15.6" customHeight="1" x14ac:dyDescent="0.3">
      <c r="A199" s="4"/>
      <c r="B199" s="365"/>
      <c r="C199" s="369" t="s">
        <v>716</v>
      </c>
      <c r="D199" s="370" t="s">
        <v>717</v>
      </c>
      <c r="E199" s="371" t="s">
        <v>718</v>
      </c>
      <c r="F199" s="252">
        <f t="shared" ca="1" si="30"/>
        <v>1.0720000000000001</v>
      </c>
      <c r="G199" s="252" t="str">
        <f ca="1">IF(OR(FLSCR="ERROR",FLSPI="ERROR"),"No",IF(TODAY()-'Look Ups'!$D$4*365&gt;I199,"WP Applied","Yes"))</f>
        <v>WP Applied</v>
      </c>
      <c r="H199" s="253" t="str">
        <f t="shared" si="31"/>
        <v>Main-Genoa-Screacher-Spinnaker</v>
      </c>
      <c r="I199" s="1">
        <v>38765</v>
      </c>
      <c r="J199" s="1"/>
      <c r="K199" s="87" t="s">
        <v>182</v>
      </c>
      <c r="L199" s="87" t="s">
        <v>182</v>
      </c>
      <c r="M199" s="207"/>
      <c r="N199" s="88" t="s">
        <v>165</v>
      </c>
      <c r="O199" s="88"/>
      <c r="P199" s="89">
        <v>9.1</v>
      </c>
      <c r="Q199" s="90">
        <v>16.96</v>
      </c>
      <c r="R199" s="87"/>
      <c r="S199" s="256">
        <f t="shared" si="32"/>
        <v>0.42400000000000004</v>
      </c>
      <c r="T199" s="117">
        <v>0.13</v>
      </c>
      <c r="U199" s="117">
        <v>0</v>
      </c>
      <c r="V199" s="258">
        <f t="shared" si="33"/>
        <v>16.830000000000002</v>
      </c>
      <c r="W199" s="259">
        <f>IF(RL&gt;0,IF(RL&gt;'Look Ups'!Y$7,'Look Ups'!Y$8,('Look Ups'!Y$3*RL^3+'Look Ups'!Y$4*RL^2+'Look Ups'!Y$5*RL+'Look Ups'!Y$6)),0)</f>
        <v>0.3</v>
      </c>
      <c r="X199" s="92">
        <v>9373</v>
      </c>
      <c r="Y199" s="263">
        <f ca="1">IF(WDATE&lt;(TODAY()-'Look Ups'!$D$4*365),-WM*'Look Ups'!$D$5/100,0)</f>
        <v>-1405.95</v>
      </c>
      <c r="Z199" s="103"/>
      <c r="AA199" s="109"/>
      <c r="AB199" s="109"/>
      <c r="AC199" s="265">
        <f>WCD+NC*'Look Ups'!$AF$3</f>
        <v>0</v>
      </c>
      <c r="AD199" s="265">
        <f ca="1">IF(RL&lt;'Look Ups'!AM$3,'Look Ups'!AM$4,IF(RL&gt;'Look Ups'!AM$5,'Look Ups'!AM$6,(RL-'Look Ups'!AM$3)/('Look Ups'!AM$5-'Look Ups'!AM$3)*('Look Ups'!AM$6-'Look Ups'!AM$4)+'Look Ups'!AM$4))/100*WS</f>
        <v>796.70500000000004</v>
      </c>
      <c r="AE199" s="269">
        <f t="shared" ca="1" si="34"/>
        <v>7967.05</v>
      </c>
      <c r="AF199" s="267">
        <f t="shared" ca="1" si="35"/>
        <v>7967.05</v>
      </c>
      <c r="AG199" s="94" t="s">
        <v>145</v>
      </c>
      <c r="AH199" s="95" t="s">
        <v>146</v>
      </c>
      <c r="AI199" s="96" t="s">
        <v>177</v>
      </c>
      <c r="AJ199" s="218"/>
      <c r="AK199" s="273">
        <f>IF(C199="",0,VLOOKUP(AG199,'Look Ups'!$F$3:$G$6,2,0)*VLOOKUP(AH199,'Look Ups'!$I$3:$J$5,2,0)*VLOOKUP(AI199,'Look Ups'!$L$3:$M$7,2,0)*IF(AJ199="",1,VLOOKUP(AJ199,'Look Ups'!$O$3:$P$4,2,0)))</f>
        <v>0.99</v>
      </c>
      <c r="AL199" s="83">
        <v>22.54</v>
      </c>
      <c r="AM199" s="91">
        <v>22.05</v>
      </c>
      <c r="AN199" s="91">
        <v>6.93</v>
      </c>
      <c r="AO199" s="91">
        <v>2.38</v>
      </c>
      <c r="AP199" s="91">
        <v>1.23</v>
      </c>
      <c r="AQ199" s="91">
        <v>21.92</v>
      </c>
      <c r="AR199" s="91">
        <v>0.36</v>
      </c>
      <c r="AS199" s="91">
        <v>7.18</v>
      </c>
      <c r="AT199" s="91">
        <v>0.1</v>
      </c>
      <c r="AU199" s="91">
        <v>1.35</v>
      </c>
      <c r="AV199" s="91" t="s">
        <v>148</v>
      </c>
      <c r="AW199" s="97">
        <v>0</v>
      </c>
      <c r="AX199" s="256">
        <f t="shared" si="36"/>
        <v>22.020000000000003</v>
      </c>
      <c r="AY199" s="256">
        <f t="shared" si="37"/>
        <v>11.097000000000001</v>
      </c>
      <c r="AZ199" s="275">
        <f>IF(C199="",0,(0.5*(_ML1*LPM)+0.5*(_ML1*HB)+0.66*(P*PR)+0.66*(_ML2*RDM)+0.66*(E*ER))*VLOOKUP(BATT,'Look Ups'!$U$3:$V$4,2,0))</f>
        <v>128.50596199999998</v>
      </c>
      <c r="BA199" s="98"/>
      <c r="BB199" s="99"/>
      <c r="BC199" s="83">
        <v>18.02</v>
      </c>
      <c r="BD199" s="91">
        <v>6.59</v>
      </c>
      <c r="BE199" s="91">
        <v>7.03</v>
      </c>
      <c r="BF199" s="91">
        <v>0.26</v>
      </c>
      <c r="BG199" s="91">
        <v>16.760000000000002</v>
      </c>
      <c r="BH199" s="91">
        <v>16.72</v>
      </c>
      <c r="BI199" s="91"/>
      <c r="BJ199" s="91">
        <v>0.36</v>
      </c>
      <c r="BK199" s="91">
        <v>0.08</v>
      </c>
      <c r="BL199" s="97"/>
      <c r="BM199" s="275">
        <f t="shared" si="38"/>
        <v>65.515879999999996</v>
      </c>
      <c r="BN199" s="319"/>
      <c r="BO199" s="320"/>
      <c r="BP199" s="321"/>
      <c r="BQ199" s="321"/>
      <c r="BR199" s="320"/>
      <c r="BS199" s="321"/>
      <c r="BT199" s="321"/>
      <c r="BU199" s="280">
        <f t="shared" si="39"/>
        <v>0</v>
      </c>
      <c r="BV199" s="322"/>
      <c r="BW199" s="320"/>
      <c r="BX199" s="320"/>
      <c r="BY199" s="320"/>
      <c r="BZ199" s="320"/>
      <c r="CA199" s="320"/>
      <c r="CB199" s="320"/>
      <c r="CC199" s="275">
        <f t="shared" si="40"/>
        <v>0</v>
      </c>
      <c r="CD199" s="98">
        <v>13.7</v>
      </c>
      <c r="CE199" s="91">
        <v>24.25</v>
      </c>
      <c r="CF199" s="91">
        <v>20.05</v>
      </c>
      <c r="CG199" s="91">
        <v>12.18</v>
      </c>
      <c r="CH199" s="266">
        <f t="shared" si="41"/>
        <v>88.9051094890511</v>
      </c>
      <c r="CI199" s="320"/>
      <c r="CJ199" s="280">
        <f t="shared" si="42"/>
        <v>230.43383333333333</v>
      </c>
      <c r="CK199" s="83">
        <v>14.1</v>
      </c>
      <c r="CL199" s="91">
        <v>24.7</v>
      </c>
      <c r="CM199" s="91">
        <v>20.6</v>
      </c>
      <c r="CN199" s="91">
        <v>9.0399999999999991</v>
      </c>
      <c r="CO199" s="256">
        <f t="shared" si="43"/>
        <v>64.113475177304963</v>
      </c>
      <c r="CP199" s="320"/>
      <c r="CQ199" s="256">
        <f t="shared" si="44"/>
        <v>189.73149999999995</v>
      </c>
      <c r="CR199" s="256" t="str">
        <f>IF(CO199&lt;'Look Ups'!$AC$4,"Yes","No")</f>
        <v>No</v>
      </c>
      <c r="CS199" s="293">
        <f>IF(CR199="Yes",MIN(150,('Look Ups'!$AC$4-PSCR)/('Look Ups'!$AC$4-'Look Ups'!$AC$3)*100),0)</f>
        <v>0</v>
      </c>
      <c r="CT199" s="83"/>
      <c r="CU199" s="91"/>
      <c r="CV199" s="91"/>
      <c r="CW199" s="91"/>
      <c r="CX199" s="256" t="str">
        <f t="shared" si="45"/>
        <v/>
      </c>
      <c r="CY199" s="293">
        <f>IF(PUSCR&lt;'Look Ups'!$AC$4,MIN(150,('Look Ups'!$AC$4-PUSCR)/('Look Ups'!$AC$4-'Look Ups'!$AC$3)*100),0)</f>
        <v>0</v>
      </c>
      <c r="CZ199" s="275">
        <f>IF(PUSCR&lt;'Look Ups'!$AC$4,USCRF*(USCRL1+USCRL2)/4+(USCRMG-USCRF/2)*(USCRL1+USCRL2)/3,0)</f>
        <v>0</v>
      </c>
      <c r="DA199" s="294">
        <f t="shared" si="46"/>
        <v>1</v>
      </c>
      <c r="DB199" s="256">
        <f t="shared" si="47"/>
        <v>139.60296199999999</v>
      </c>
      <c r="DC199" s="256">
        <f t="shared" si="48"/>
        <v>1</v>
      </c>
      <c r="DD199" s="256">
        <f t="shared" si="49"/>
        <v>65.515879999999996</v>
      </c>
      <c r="DE199" s="256">
        <f>IF(AZ199&gt;0,'Look Ups'!$S$3,0)</f>
        <v>1</v>
      </c>
      <c r="DF199" s="256">
        <f t="shared" si="50"/>
        <v>0</v>
      </c>
      <c r="DG199" s="256">
        <f t="shared" si="51"/>
        <v>0</v>
      </c>
      <c r="DH199" s="256">
        <f t="shared" si="52"/>
        <v>0</v>
      </c>
      <c r="DI199" s="280">
        <f t="shared" si="53"/>
        <v>0</v>
      </c>
      <c r="DJ199" s="295" t="str">
        <f t="shared" si="54"/>
        <v>valid</v>
      </c>
      <c r="DK199" s="266" t="str">
        <f t="shared" si="55"/>
        <v>valid</v>
      </c>
      <c r="DL199" s="267" t="str">
        <f t="shared" si="56"/>
        <v>MGScrSP</v>
      </c>
      <c r="DM199" s="294">
        <f t="shared" si="57"/>
        <v>205.11884199999997</v>
      </c>
      <c r="DN199" s="256">
        <f>IF(MSASP&gt;0,'Look Ups'!$AI$4*(ZVAL*MSASP-RSAG),0)</f>
        <v>49.475386</v>
      </c>
      <c r="DO199" s="256">
        <f>IF(AND(MSASC&gt;0,(MSASC&gt;=0.36*RSAM)),('Look Ups'!$AI$3*(ZVAL*MSASC-RSAG)),(0))</f>
        <v>43.475466999999981</v>
      </c>
      <c r="DP199" s="256">
        <f>IF(MSASP&gt;0,'Look Ups'!$AI$5*(ZVAL*MSASP-RSAG),0)</f>
        <v>46.177026933333337</v>
      </c>
      <c r="DQ199" s="256">
        <f>IF(MSASC&gt;0,'Look Ups'!$AI$6*(MSASC-RSAG),0)</f>
        <v>8.6950933999999975</v>
      </c>
      <c r="DR199" s="280">
        <f>'Look Ups'!$AI$7*MAX(IF(MSAUSC&gt;0,EUSC/100*(MSAUSC-RSAG),0),IF(CR199="Yes",ELSC/100*(MSASC-RSAG),0))</f>
        <v>0</v>
      </c>
      <c r="DS199" s="280">
        <f t="shared" si="58"/>
        <v>50.257066319999993</v>
      </c>
      <c r="DT199" s="296">
        <f t="shared" si="59"/>
        <v>259.9909623333333</v>
      </c>
      <c r="DU199" s="14"/>
    </row>
    <row r="200" spans="1:125" ht="15.6" customHeight="1" x14ac:dyDescent="0.3">
      <c r="A200" s="4"/>
      <c r="B200" s="365"/>
      <c r="C200" s="369" t="s">
        <v>719</v>
      </c>
      <c r="D200" s="370" t="s">
        <v>194</v>
      </c>
      <c r="E200" s="371" t="s">
        <v>720</v>
      </c>
      <c r="F200" s="252">
        <f t="shared" ca="1" si="30"/>
        <v>0.91900000000000004</v>
      </c>
      <c r="G200" s="252" t="str">
        <f ca="1">IF(OR(FLSCR="ERROR",FLSPI="ERROR"),"No",IF(TODAY()-'Look Ups'!$D$4*365&gt;I200,"WP Applied","Yes"))</f>
        <v>WP Applied</v>
      </c>
      <c r="H200" s="253" t="str">
        <f t="shared" si="31"/>
        <v>Main-Genoa-Screacher-Spinnaker</v>
      </c>
      <c r="I200" s="1">
        <v>39751</v>
      </c>
      <c r="J200" s="1">
        <v>42677</v>
      </c>
      <c r="K200" s="87" t="s">
        <v>365</v>
      </c>
      <c r="L200" s="87" t="s">
        <v>142</v>
      </c>
      <c r="M200" s="207"/>
      <c r="N200" s="88" t="s">
        <v>143</v>
      </c>
      <c r="O200" s="88" t="s">
        <v>154</v>
      </c>
      <c r="P200" s="89">
        <v>5.5</v>
      </c>
      <c r="Q200" s="90">
        <v>7.32</v>
      </c>
      <c r="R200" s="87"/>
      <c r="S200" s="256">
        <f t="shared" si="32"/>
        <v>0.18300000000000002</v>
      </c>
      <c r="T200" s="117">
        <v>0.14000000000000001</v>
      </c>
      <c r="U200" s="117">
        <v>0</v>
      </c>
      <c r="V200" s="258">
        <f t="shared" si="33"/>
        <v>7.1800000000000006</v>
      </c>
      <c r="W200" s="259">
        <f>IF(RL&gt;0,IF(RL&gt;'Look Ups'!Y$7,'Look Ups'!Y$8,('Look Ups'!Y$3*RL^3+'Look Ups'!Y$4*RL^2+'Look Ups'!Y$5*RL+'Look Ups'!Y$6)),0)</f>
        <v>0.29055146565600004</v>
      </c>
      <c r="X200" s="92">
        <v>995</v>
      </c>
      <c r="Y200" s="263">
        <f ca="1">IF(WDATE&lt;(TODAY()-'Look Ups'!$D$4*365),-WM*'Look Ups'!$D$5/100,0)</f>
        <v>-149.25</v>
      </c>
      <c r="Z200" s="103"/>
      <c r="AA200" s="109"/>
      <c r="AB200" s="109"/>
      <c r="AC200" s="265">
        <f>WCD+NC*'Look Ups'!$AF$3</f>
        <v>0</v>
      </c>
      <c r="AD200" s="265">
        <f ca="1">IF(RL&lt;'Look Ups'!AM$3,'Look Ups'!AM$4,IF(RL&gt;'Look Ups'!AM$5,'Look Ups'!AM$6,(RL-'Look Ups'!AM$3)/('Look Ups'!AM$5-'Look Ups'!AM$3)*('Look Ups'!AM$6-'Look Ups'!AM$4)+'Look Ups'!AM$4))/100*WS</f>
        <v>238.96281818181819</v>
      </c>
      <c r="AE200" s="269">
        <f t="shared" ca="1" si="34"/>
        <v>845.75</v>
      </c>
      <c r="AF200" s="267">
        <f t="shared" ca="1" si="35"/>
        <v>845.75</v>
      </c>
      <c r="AG200" s="94" t="s">
        <v>145</v>
      </c>
      <c r="AH200" s="95" t="s">
        <v>146</v>
      </c>
      <c r="AI200" s="96" t="s">
        <v>147</v>
      </c>
      <c r="AJ200" s="218"/>
      <c r="AK200" s="273">
        <f>IF(C200="",0,VLOOKUP(AG200,'Look Ups'!$F$3:$G$6,2,0)*VLOOKUP(AH200,'Look Ups'!$I$3:$J$5,2,0)*VLOOKUP(AI200,'Look Ups'!$L$3:$M$7,2,0)*IF(AJ200="",1,VLOOKUP(AJ200,'Look Ups'!$O$3:$P$4,2,0)))</f>
        <v>1</v>
      </c>
      <c r="AL200" s="83">
        <v>10.02</v>
      </c>
      <c r="AM200" s="91">
        <v>9.85</v>
      </c>
      <c r="AN200" s="91">
        <v>3.1</v>
      </c>
      <c r="AO200" s="91">
        <v>0.74</v>
      </c>
      <c r="AP200" s="91">
        <v>0.89</v>
      </c>
      <c r="AQ200" s="91">
        <v>9.57</v>
      </c>
      <c r="AR200" s="91">
        <v>0.05</v>
      </c>
      <c r="AS200" s="91">
        <v>3.24</v>
      </c>
      <c r="AT200" s="91">
        <v>0</v>
      </c>
      <c r="AU200" s="91">
        <v>0.49</v>
      </c>
      <c r="AV200" s="91" t="s">
        <v>148</v>
      </c>
      <c r="AW200" s="97">
        <v>0</v>
      </c>
      <c r="AX200" s="256">
        <f t="shared" si="36"/>
        <v>9.57</v>
      </c>
      <c r="AY200" s="256">
        <f t="shared" si="37"/>
        <v>1.7584875</v>
      </c>
      <c r="AZ200" s="275">
        <f>IF(C200="",0,(0.5*(_ML1*LPM)+0.5*(_ML1*HB)+0.66*(P*PR)+0.66*(_ML2*RDM)+0.66*(E*ER))*VLOOKUP(BATT,'Look Ups'!$U$3:$V$4,2,0))</f>
        <v>25.3401</v>
      </c>
      <c r="BA200" s="98"/>
      <c r="BB200" s="99"/>
      <c r="BC200" s="83">
        <v>8.82</v>
      </c>
      <c r="BD200" s="91">
        <v>2.5</v>
      </c>
      <c r="BE200" s="91">
        <v>2.81</v>
      </c>
      <c r="BF200" s="91">
        <v>0.12</v>
      </c>
      <c r="BG200" s="91">
        <v>8.77</v>
      </c>
      <c r="BH200" s="91"/>
      <c r="BI200" s="91"/>
      <c r="BJ200" s="91">
        <v>0.31</v>
      </c>
      <c r="BK200" s="91">
        <v>0</v>
      </c>
      <c r="BL200" s="97"/>
      <c r="BM200" s="275">
        <f t="shared" si="38"/>
        <v>13.041894000000001</v>
      </c>
      <c r="BN200" s="319"/>
      <c r="BO200" s="320"/>
      <c r="BP200" s="321"/>
      <c r="BQ200" s="321"/>
      <c r="BR200" s="320"/>
      <c r="BS200" s="321"/>
      <c r="BT200" s="321"/>
      <c r="BU200" s="280">
        <f t="shared" si="39"/>
        <v>0</v>
      </c>
      <c r="BV200" s="322"/>
      <c r="BW200" s="320"/>
      <c r="BX200" s="320"/>
      <c r="BY200" s="320"/>
      <c r="BZ200" s="320"/>
      <c r="CA200" s="320"/>
      <c r="CB200" s="320"/>
      <c r="CC200" s="275">
        <f t="shared" si="40"/>
        <v>0</v>
      </c>
      <c r="CD200" s="98">
        <v>7.45</v>
      </c>
      <c r="CE200" s="91">
        <v>11.88</v>
      </c>
      <c r="CF200" s="91">
        <v>10.74</v>
      </c>
      <c r="CG200" s="91">
        <v>6.52</v>
      </c>
      <c r="CH200" s="266">
        <f t="shared" si="41"/>
        <v>87.516778523489918</v>
      </c>
      <c r="CI200" s="320"/>
      <c r="CJ200" s="280">
        <f t="shared" si="42"/>
        <v>63.204049999999995</v>
      </c>
      <c r="CK200" s="83">
        <v>5.81</v>
      </c>
      <c r="CL200" s="91">
        <v>10.23</v>
      </c>
      <c r="CM200" s="91">
        <v>9.25</v>
      </c>
      <c r="CN200" s="91">
        <v>3.16</v>
      </c>
      <c r="CO200" s="256">
        <f t="shared" si="43"/>
        <v>54.388984509466439</v>
      </c>
      <c r="CP200" s="320"/>
      <c r="CQ200" s="256">
        <f t="shared" si="44"/>
        <v>29.950500000000002</v>
      </c>
      <c r="CR200" s="256" t="str">
        <f>IF(CO200&lt;'Look Ups'!$AC$4,"Yes","No")</f>
        <v>No</v>
      </c>
      <c r="CS200" s="293">
        <f>IF(CR200="Yes",MIN(150,('Look Ups'!$AC$4-PSCR)/('Look Ups'!$AC$4-'Look Ups'!$AC$3)*100),0)</f>
        <v>0</v>
      </c>
      <c r="CT200" s="83"/>
      <c r="CU200" s="91"/>
      <c r="CV200" s="91"/>
      <c r="CW200" s="91"/>
      <c r="CX200" s="256" t="str">
        <f t="shared" si="45"/>
        <v/>
      </c>
      <c r="CY200" s="293">
        <f>IF(PUSCR&lt;'Look Ups'!$AC$4,MIN(150,('Look Ups'!$AC$4-PUSCR)/('Look Ups'!$AC$4-'Look Ups'!$AC$3)*100),0)</f>
        <v>0</v>
      </c>
      <c r="CZ200" s="275">
        <f>IF(PUSCR&lt;'Look Ups'!$AC$4,USCRF*(USCRL1+USCRL2)/4+(USCRMG-USCRF/2)*(USCRL1+USCRL2)/3,0)</f>
        <v>0</v>
      </c>
      <c r="DA200" s="294">
        <f t="shared" si="46"/>
        <v>1</v>
      </c>
      <c r="DB200" s="256">
        <f t="shared" si="47"/>
        <v>27.098587500000001</v>
      </c>
      <c r="DC200" s="256">
        <f t="shared" si="48"/>
        <v>1</v>
      </c>
      <c r="DD200" s="256">
        <f t="shared" si="49"/>
        <v>13.041894000000001</v>
      </c>
      <c r="DE200" s="256">
        <f>IF(AZ200&gt;0,'Look Ups'!$S$3,0)</f>
        <v>1</v>
      </c>
      <c r="DF200" s="256">
        <f t="shared" si="50"/>
        <v>0</v>
      </c>
      <c r="DG200" s="256">
        <f t="shared" si="51"/>
        <v>0</v>
      </c>
      <c r="DH200" s="256">
        <f t="shared" si="52"/>
        <v>0</v>
      </c>
      <c r="DI200" s="280">
        <f t="shared" si="53"/>
        <v>0</v>
      </c>
      <c r="DJ200" s="295" t="str">
        <f t="shared" si="54"/>
        <v>valid</v>
      </c>
      <c r="DK200" s="266" t="str">
        <f t="shared" si="55"/>
        <v>valid</v>
      </c>
      <c r="DL200" s="267" t="str">
        <f t="shared" si="56"/>
        <v>MGScrSP</v>
      </c>
      <c r="DM200" s="294">
        <f t="shared" si="57"/>
        <v>40.1404815</v>
      </c>
      <c r="DN200" s="256">
        <f>IF(MSASP&gt;0,'Look Ups'!$AI$4*(ZVAL*MSASP-RSAG),0)</f>
        <v>15.048646799999998</v>
      </c>
      <c r="DO200" s="256">
        <f>IF(AND(MSASC&gt;0,(MSASC&gt;=0.36*RSAM)),('Look Ups'!$AI$3*(ZVAL*MSASC-RSAG)),(0))</f>
        <v>5.9180120999999994</v>
      </c>
      <c r="DP200" s="256">
        <f>IF(MSASP&gt;0,'Look Ups'!$AI$5*(ZVAL*MSASP-RSAG),0)</f>
        <v>14.04540368</v>
      </c>
      <c r="DQ200" s="256">
        <f>IF(MSASC&gt;0,'Look Ups'!$AI$6*(MSASC-RSAG),0)</f>
        <v>1.1836024199999999</v>
      </c>
      <c r="DR200" s="280">
        <f>'Look Ups'!$AI$7*MAX(IF(MSAUSC&gt;0,EUSC/100*(MSAUSC-RSAG),0),IF(CR200="Yes",ELSC/100*(MSASC-RSAG),0))</f>
        <v>0</v>
      </c>
      <c r="DS200" s="280">
        <f t="shared" si="58"/>
        <v>9.7554914999999998</v>
      </c>
      <c r="DT200" s="296">
        <f t="shared" si="59"/>
        <v>55.369487599999999</v>
      </c>
      <c r="DU200" s="14"/>
    </row>
    <row r="201" spans="1:125" ht="15.6" customHeight="1" x14ac:dyDescent="0.3">
      <c r="A201" s="4"/>
      <c r="B201" s="365"/>
      <c r="C201" s="369" t="s">
        <v>721</v>
      </c>
      <c r="D201" s="370" t="s">
        <v>722</v>
      </c>
      <c r="E201" s="371" t="s">
        <v>723</v>
      </c>
      <c r="F201" s="252">
        <f t="shared" ca="1" si="30"/>
        <v>0.72399999999999998</v>
      </c>
      <c r="G201" s="252" t="str">
        <f ca="1">IF(OR(FLSCR="ERROR",FLSPI="ERROR"),"No",IF(TODAY()-'Look Ups'!$D$4*365&gt;I201,"WP Applied","Yes"))</f>
        <v>WP Applied</v>
      </c>
      <c r="H201" s="253" t="str">
        <f t="shared" si="31"/>
        <v>Main-Genoa-Spinnaker</v>
      </c>
      <c r="I201" s="1">
        <v>38032</v>
      </c>
      <c r="J201" s="1"/>
      <c r="K201" s="87" t="s">
        <v>594</v>
      </c>
      <c r="L201" s="87" t="s">
        <v>589</v>
      </c>
      <c r="M201" s="207"/>
      <c r="N201" s="88" t="s">
        <v>165</v>
      </c>
      <c r="O201" s="88"/>
      <c r="P201" s="89">
        <v>6</v>
      </c>
      <c r="Q201" s="90">
        <v>11</v>
      </c>
      <c r="R201" s="87"/>
      <c r="S201" s="256">
        <f t="shared" si="32"/>
        <v>0.27500000000000002</v>
      </c>
      <c r="T201" s="117">
        <v>0.1</v>
      </c>
      <c r="U201" s="117">
        <v>0</v>
      </c>
      <c r="V201" s="258">
        <f t="shared" si="33"/>
        <v>10.9</v>
      </c>
      <c r="W201" s="259">
        <f>IF(RL&gt;0,IF(RL&gt;'Look Ups'!Y$7,'Look Ups'!Y$8,('Look Ups'!Y$3*RL^3+'Look Ups'!Y$4*RL^2+'Look Ups'!Y$5*RL+'Look Ups'!Y$6)),0)</f>
        <v>0.29945195700000005</v>
      </c>
      <c r="X201" s="92">
        <v>5357</v>
      </c>
      <c r="Y201" s="263">
        <f ca="1">IF(WDATE&lt;(TODAY()-'Look Ups'!$D$4*365),-WM*'Look Ups'!$D$5/100,0)</f>
        <v>-803.55</v>
      </c>
      <c r="Z201" s="103"/>
      <c r="AA201" s="109"/>
      <c r="AB201" s="109"/>
      <c r="AC201" s="265">
        <f>WCD+NC*'Look Ups'!$AF$3</f>
        <v>0</v>
      </c>
      <c r="AD201" s="265">
        <f ca="1">IF(RL&lt;'Look Ups'!AM$3,'Look Ups'!AM$4,IF(RL&gt;'Look Ups'!AM$5,'Look Ups'!AM$6,(RL-'Look Ups'!AM$3)/('Look Ups'!AM$5-'Look Ups'!AM$3)*('Look Ups'!AM$6-'Look Ups'!AM$4)+'Look Ups'!AM$4))/100*WS</f>
        <v>670.59899999999982</v>
      </c>
      <c r="AE201" s="269">
        <f t="shared" ca="1" si="34"/>
        <v>4553.45</v>
      </c>
      <c r="AF201" s="267">
        <f t="shared" ca="1" si="35"/>
        <v>4553.45</v>
      </c>
      <c r="AG201" s="94" t="s">
        <v>145</v>
      </c>
      <c r="AH201" s="95" t="s">
        <v>146</v>
      </c>
      <c r="AI201" s="96" t="s">
        <v>724</v>
      </c>
      <c r="AJ201" s="218"/>
      <c r="AK201" s="273">
        <f>IF(C201="",0,VLOOKUP(AG201,'Look Ups'!$F$3:$G$6,2,0)*VLOOKUP(AH201,'Look Ups'!$I$3:$J$5,2,0)*VLOOKUP(AI201,'Look Ups'!$L$3:$M$7,2,0)*IF(AJ201="",1,VLOOKUP(AJ201,'Look Ups'!$O$3:$P$4,2,0)))</f>
        <v>0.96250000000000002</v>
      </c>
      <c r="AL201" s="83">
        <v>13.61</v>
      </c>
      <c r="AM201" s="91">
        <v>13.55</v>
      </c>
      <c r="AN201" s="91">
        <v>4.2</v>
      </c>
      <c r="AO201" s="91">
        <v>0.17</v>
      </c>
      <c r="AP201" s="91">
        <v>1.45</v>
      </c>
      <c r="AQ201" s="91">
        <v>13.28</v>
      </c>
      <c r="AR201" s="91">
        <v>0.16</v>
      </c>
      <c r="AS201" s="91">
        <v>4.33</v>
      </c>
      <c r="AT201" s="91">
        <v>0</v>
      </c>
      <c r="AU201" s="91"/>
      <c r="AV201" s="91" t="s">
        <v>148</v>
      </c>
      <c r="AW201" s="97">
        <v>0</v>
      </c>
      <c r="AX201" s="256">
        <f t="shared" si="36"/>
        <v>13.28</v>
      </c>
      <c r="AY201" s="256">
        <f t="shared" si="37"/>
        <v>0</v>
      </c>
      <c r="AZ201" s="275">
        <f>IF(C201="",0,(0.5*(_ML1*LPM)+0.5*(_ML1*HB)+0.66*(P*PR)+0.66*(_ML2*RDM)+0.66*(E*ER))*VLOOKUP(BATT,'Look Ups'!$U$3:$V$4,2,0))</f>
        <v>44.107568000000001</v>
      </c>
      <c r="BA201" s="98"/>
      <c r="BB201" s="99"/>
      <c r="BC201" s="83">
        <v>12.9</v>
      </c>
      <c r="BD201" s="91">
        <v>4.8899999999999997</v>
      </c>
      <c r="BE201" s="91">
        <v>5.72</v>
      </c>
      <c r="BF201" s="91">
        <v>0.09</v>
      </c>
      <c r="BG201" s="91">
        <v>10.99</v>
      </c>
      <c r="BH201" s="91"/>
      <c r="BI201" s="91"/>
      <c r="BJ201" s="91">
        <v>-0.35</v>
      </c>
      <c r="BK201" s="91">
        <v>0</v>
      </c>
      <c r="BL201" s="97"/>
      <c r="BM201" s="275">
        <f t="shared" si="38"/>
        <v>29.341577999999998</v>
      </c>
      <c r="BN201" s="319"/>
      <c r="BO201" s="320"/>
      <c r="BP201" s="321"/>
      <c r="BQ201" s="321"/>
      <c r="BR201" s="320"/>
      <c r="BS201" s="321"/>
      <c r="BT201" s="321"/>
      <c r="BU201" s="280">
        <f t="shared" si="39"/>
        <v>0</v>
      </c>
      <c r="BV201" s="322"/>
      <c r="BW201" s="320"/>
      <c r="BX201" s="320"/>
      <c r="BY201" s="320"/>
      <c r="BZ201" s="320"/>
      <c r="CA201" s="320"/>
      <c r="CB201" s="320"/>
      <c r="CC201" s="275">
        <f t="shared" si="40"/>
        <v>0</v>
      </c>
      <c r="CD201" s="98">
        <v>9.6999999999999993</v>
      </c>
      <c r="CE201" s="91">
        <v>16</v>
      </c>
      <c r="CF201" s="91">
        <v>12</v>
      </c>
      <c r="CG201" s="91">
        <v>7.5</v>
      </c>
      <c r="CH201" s="266">
        <f t="shared" si="41"/>
        <v>77.319587628865989</v>
      </c>
      <c r="CI201" s="320"/>
      <c r="CJ201" s="280">
        <f t="shared" si="42"/>
        <v>92.633333333333326</v>
      </c>
      <c r="CK201" s="83"/>
      <c r="CL201" s="91"/>
      <c r="CM201" s="91"/>
      <c r="CN201" s="91"/>
      <c r="CO201" s="256" t="str">
        <f t="shared" si="43"/>
        <v/>
      </c>
      <c r="CP201" s="320"/>
      <c r="CQ201" s="256">
        <f t="shared" si="44"/>
        <v>0</v>
      </c>
      <c r="CR201" s="256" t="str">
        <f>IF(CO201&lt;'Look Ups'!$AC$4,"Yes","No")</f>
        <v>No</v>
      </c>
      <c r="CS201" s="293">
        <f>IF(CR201="Yes",MIN(150,('Look Ups'!$AC$4-PSCR)/('Look Ups'!$AC$4-'Look Ups'!$AC$3)*100),0)</f>
        <v>0</v>
      </c>
      <c r="CT201" s="83"/>
      <c r="CU201" s="91"/>
      <c r="CV201" s="91"/>
      <c r="CW201" s="91"/>
      <c r="CX201" s="256" t="str">
        <f t="shared" si="45"/>
        <v/>
      </c>
      <c r="CY201" s="293">
        <f>IF(PUSCR&lt;'Look Ups'!$AC$4,MIN(150,('Look Ups'!$AC$4-PUSCR)/('Look Ups'!$AC$4-'Look Ups'!$AC$3)*100),0)</f>
        <v>0</v>
      </c>
      <c r="CZ201" s="275">
        <f>IF(PUSCR&lt;'Look Ups'!$AC$4,USCRF*(USCRL1+USCRL2)/4+(USCRMG-USCRF/2)*(USCRL1+USCRL2)/3,0)</f>
        <v>0</v>
      </c>
      <c r="DA201" s="294">
        <f t="shared" si="46"/>
        <v>1</v>
      </c>
      <c r="DB201" s="256">
        <f t="shared" si="47"/>
        <v>44.107568000000001</v>
      </c>
      <c r="DC201" s="256">
        <f t="shared" si="48"/>
        <v>1</v>
      </c>
      <c r="DD201" s="256">
        <f t="shared" si="49"/>
        <v>29.341577999999998</v>
      </c>
      <c r="DE201" s="256">
        <f>IF(AZ201&gt;0,'Look Ups'!$S$3,0)</f>
        <v>1</v>
      </c>
      <c r="DF201" s="256">
        <f t="shared" si="50"/>
        <v>0</v>
      </c>
      <c r="DG201" s="256">
        <f t="shared" si="51"/>
        <v>0</v>
      </c>
      <c r="DH201" s="256">
        <f t="shared" si="52"/>
        <v>0</v>
      </c>
      <c r="DI201" s="280">
        <f t="shared" si="53"/>
        <v>0</v>
      </c>
      <c r="DJ201" s="295" t="str">
        <f t="shared" si="54"/>
        <v>-</v>
      </c>
      <c r="DK201" s="266" t="str">
        <f t="shared" si="55"/>
        <v>valid</v>
      </c>
      <c r="DL201" s="267" t="str">
        <f t="shared" si="56"/>
        <v>MGSP</v>
      </c>
      <c r="DM201" s="294">
        <f t="shared" si="57"/>
        <v>73.449145999999999</v>
      </c>
      <c r="DN201" s="256">
        <f>IF(MSASP&gt;0,'Look Ups'!$AI$4*(ZVAL*MSASP-RSAG),0)</f>
        <v>18.987526599999999</v>
      </c>
      <c r="DO201" s="256">
        <f>IF(AND(MSASC&gt;0,(MSASC&gt;=0.36*RSAM)),('Look Ups'!$AI$3*(ZVAL*MSASC-RSAG)),(0))</f>
        <v>0</v>
      </c>
      <c r="DP201" s="256">
        <f>IF(MSASP&gt;0,'Look Ups'!$AI$5*(ZVAL*MSASP-RSAG),0)</f>
        <v>17.721691493333335</v>
      </c>
      <c r="DQ201" s="256">
        <f>IF(MSASC&gt;0,'Look Ups'!$AI$6*(MSASC-RSAG),0)</f>
        <v>0</v>
      </c>
      <c r="DR201" s="280">
        <f>'Look Ups'!$AI$7*MAX(IF(MSAUSC&gt;0,EUSC/100*(MSAUSC-RSAG),0),IF(CR201="Yes",ELSC/100*(MSASC-RSAG),0))</f>
        <v>0</v>
      </c>
      <c r="DS201" s="280">
        <f t="shared" si="58"/>
        <v>15.878724479999999</v>
      </c>
      <c r="DT201" s="296">
        <f t="shared" si="59"/>
        <v>92.436672599999994</v>
      </c>
      <c r="DU201" s="14"/>
    </row>
    <row r="202" spans="1:125" ht="15.6" customHeight="1" x14ac:dyDescent="0.3">
      <c r="A202" s="4"/>
      <c r="B202" s="365"/>
      <c r="C202" s="369" t="s">
        <v>725</v>
      </c>
      <c r="D202" s="370" t="s">
        <v>726</v>
      </c>
      <c r="E202" s="371" t="s">
        <v>727</v>
      </c>
      <c r="F202" s="252">
        <f t="shared" ca="1" si="30"/>
        <v>0.67300000000000004</v>
      </c>
      <c r="G202" s="252" t="str">
        <f ca="1">IF(OR(FLSCR="ERROR",FLSPI="ERROR"),"No",IF(TODAY()-'Look Ups'!$D$4*365&gt;I202,"WP Applied","Yes"))</f>
        <v>WP Applied</v>
      </c>
      <c r="H202" s="253" t="str">
        <f t="shared" si="31"/>
        <v>Main-Genoa-Screacher (Upwind)-Spinnaker</v>
      </c>
      <c r="I202" s="1">
        <v>39101</v>
      </c>
      <c r="J202" s="1">
        <v>39101</v>
      </c>
      <c r="K202" s="87" t="s">
        <v>676</v>
      </c>
      <c r="L202" s="87" t="s">
        <v>676</v>
      </c>
      <c r="M202" s="207"/>
      <c r="N202" s="88" t="s">
        <v>271</v>
      </c>
      <c r="O202" s="88"/>
      <c r="P202" s="89">
        <v>4.5</v>
      </c>
      <c r="Q202" s="90">
        <v>5.9</v>
      </c>
      <c r="R202" s="87"/>
      <c r="S202" s="256">
        <f t="shared" si="32"/>
        <v>0.14750000000000002</v>
      </c>
      <c r="T202" s="117">
        <v>0.32</v>
      </c>
      <c r="U202" s="117">
        <v>0</v>
      </c>
      <c r="V202" s="258">
        <f t="shared" si="33"/>
        <v>5.58</v>
      </c>
      <c r="W202" s="259">
        <f>IF(RL&gt;0,IF(RL&gt;'Look Ups'!Y$7,'Look Ups'!Y$8,('Look Ups'!Y$3*RL^3+'Look Ups'!Y$4*RL^2+'Look Ups'!Y$5*RL+'Look Ups'!Y$6)),0)</f>
        <v>0.28145249669600003</v>
      </c>
      <c r="X202" s="92">
        <v>880</v>
      </c>
      <c r="Y202" s="263">
        <f ca="1">IF(WDATE&lt;(TODAY()-'Look Ups'!$D$4*365),-WM*'Look Ups'!$D$5/100,0)</f>
        <v>-132</v>
      </c>
      <c r="Z202" s="103"/>
      <c r="AA202" s="109"/>
      <c r="AB202" s="109"/>
      <c r="AC202" s="265">
        <f>WCD+NC*'Look Ups'!$AF$3</f>
        <v>0</v>
      </c>
      <c r="AD202" s="265">
        <f ca="1">IF(RL&lt;'Look Ups'!AM$3,'Look Ups'!AM$4,IF(RL&gt;'Look Ups'!AM$5,'Look Ups'!AM$6,(RL-'Look Ups'!AM$3)/('Look Ups'!AM$5-'Look Ups'!AM$3)*('Look Ups'!AM$6-'Look Ups'!AM$4)+'Look Ups'!AM$4))/100*WS</f>
        <v>224.4</v>
      </c>
      <c r="AE202" s="269">
        <f t="shared" ca="1" si="34"/>
        <v>748</v>
      </c>
      <c r="AF202" s="267">
        <f t="shared" ca="1" si="35"/>
        <v>748</v>
      </c>
      <c r="AG202" s="94" t="s">
        <v>155</v>
      </c>
      <c r="AH202" s="95" t="s">
        <v>146</v>
      </c>
      <c r="AI202" s="96" t="s">
        <v>147</v>
      </c>
      <c r="AJ202" s="218"/>
      <c r="AK202" s="273">
        <f>IF(C202="",0,VLOOKUP(AG202,'Look Ups'!$F$3:$G$6,2,0)*VLOOKUP(AH202,'Look Ups'!$I$3:$J$5,2,0)*VLOOKUP(AI202,'Look Ups'!$L$3:$M$7,2,0)*IF(AJ202="",1,VLOOKUP(AJ202,'Look Ups'!$O$3:$P$4,2,0)))</f>
        <v>0.99</v>
      </c>
      <c r="AL202" s="83">
        <v>7.5</v>
      </c>
      <c r="AM202" s="91">
        <v>7.26</v>
      </c>
      <c r="AN202" s="91">
        <v>2.4</v>
      </c>
      <c r="AO202" s="91">
        <v>0.70499999999999996</v>
      </c>
      <c r="AP202" s="91">
        <v>0.49</v>
      </c>
      <c r="AQ202" s="91">
        <v>7.2</v>
      </c>
      <c r="AR202" s="91">
        <v>0.09</v>
      </c>
      <c r="AS202" s="91">
        <v>2.5099999999999998</v>
      </c>
      <c r="AT202" s="91">
        <v>0.08</v>
      </c>
      <c r="AU202" s="91"/>
      <c r="AV202" s="91" t="s">
        <v>148</v>
      </c>
      <c r="AW202" s="97">
        <v>203323</v>
      </c>
      <c r="AX202" s="256">
        <f t="shared" si="36"/>
        <v>7.28</v>
      </c>
      <c r="AY202" s="256">
        <f t="shared" si="37"/>
        <v>0</v>
      </c>
      <c r="AZ202" s="275">
        <f>IF(C202="",0,(0.5*(_ML1*LPM)+0.5*(_ML1*HB)+0.66*(P*PR)+0.66*(_ML2*RDM)+0.66*(E*ER))*VLOOKUP(BATT,'Look Ups'!$U$3:$V$4,2,0))</f>
        <v>14.551842000000002</v>
      </c>
      <c r="BA202" s="98"/>
      <c r="BB202" s="99"/>
      <c r="BC202" s="83">
        <v>6.5</v>
      </c>
      <c r="BD202" s="91">
        <v>2.67</v>
      </c>
      <c r="BE202" s="91">
        <v>2.92</v>
      </c>
      <c r="BF202" s="91">
        <v>0.14000000000000001</v>
      </c>
      <c r="BG202" s="91">
        <v>5.95</v>
      </c>
      <c r="BH202" s="91"/>
      <c r="BI202" s="91"/>
      <c r="BJ202" s="91">
        <v>3.5000000000000003E-2</v>
      </c>
      <c r="BK202" s="91">
        <v>-0.17</v>
      </c>
      <c r="BL202" s="97">
        <v>203114</v>
      </c>
      <c r="BM202" s="275">
        <f t="shared" si="38"/>
        <v>8.3554529999999989</v>
      </c>
      <c r="BN202" s="319"/>
      <c r="BO202" s="320"/>
      <c r="BP202" s="321"/>
      <c r="BQ202" s="321"/>
      <c r="BR202" s="320"/>
      <c r="BS202" s="321"/>
      <c r="BT202" s="321"/>
      <c r="BU202" s="280">
        <f t="shared" si="39"/>
        <v>0</v>
      </c>
      <c r="BV202" s="322"/>
      <c r="BW202" s="320"/>
      <c r="BX202" s="320"/>
      <c r="BY202" s="320"/>
      <c r="BZ202" s="320"/>
      <c r="CA202" s="320"/>
      <c r="CB202" s="320"/>
      <c r="CC202" s="275">
        <f t="shared" si="40"/>
        <v>0</v>
      </c>
      <c r="CD202" s="98">
        <v>4.1100000000000003</v>
      </c>
      <c r="CE202" s="91">
        <v>7.4</v>
      </c>
      <c r="CF202" s="91">
        <v>7.4</v>
      </c>
      <c r="CG202" s="91">
        <v>4.8</v>
      </c>
      <c r="CH202" s="266">
        <f t="shared" si="41"/>
        <v>116.7883211678832</v>
      </c>
      <c r="CI202" s="320"/>
      <c r="CJ202" s="280">
        <f t="shared" si="42"/>
        <v>28.749000000000002</v>
      </c>
      <c r="CK202" s="83">
        <v>4.3</v>
      </c>
      <c r="CL202" s="91">
        <v>6.71</v>
      </c>
      <c r="CM202" s="91">
        <v>6.14</v>
      </c>
      <c r="CN202" s="91">
        <v>2.16</v>
      </c>
      <c r="CO202" s="256">
        <f t="shared" si="43"/>
        <v>50.232558139534888</v>
      </c>
      <c r="CP202" s="320"/>
      <c r="CQ202" s="256">
        <f t="shared" si="44"/>
        <v>13.856583333333333</v>
      </c>
      <c r="CR202" s="256" t="str">
        <f>IF(CO202&lt;'Look Ups'!$AC$4,"Yes","No")</f>
        <v>Yes</v>
      </c>
      <c r="CS202" s="293">
        <f>IF(CR202="Yes",MIN(150,('Look Ups'!$AC$4-PSCR)/('Look Ups'!$AC$4-'Look Ups'!$AC$3)*100),0)</f>
        <v>35.348837209302246</v>
      </c>
      <c r="CT202" s="83"/>
      <c r="CU202" s="91"/>
      <c r="CV202" s="91"/>
      <c r="CW202" s="91"/>
      <c r="CX202" s="256" t="str">
        <f t="shared" si="45"/>
        <v/>
      </c>
      <c r="CY202" s="293">
        <f>IF(PUSCR&lt;'Look Ups'!$AC$4,MIN(150,('Look Ups'!$AC$4-PUSCR)/('Look Ups'!$AC$4-'Look Ups'!$AC$3)*100),0)</f>
        <v>0</v>
      </c>
      <c r="CZ202" s="275">
        <f>IF(PUSCR&lt;'Look Ups'!$AC$4,USCRF*(USCRL1+USCRL2)/4+(USCRMG-USCRF/2)*(USCRL1+USCRL2)/3,0)</f>
        <v>0</v>
      </c>
      <c r="DA202" s="294">
        <f t="shared" si="46"/>
        <v>1</v>
      </c>
      <c r="DB202" s="256">
        <f t="shared" si="47"/>
        <v>14.551842000000004</v>
      </c>
      <c r="DC202" s="256">
        <f t="shared" si="48"/>
        <v>1</v>
      </c>
      <c r="DD202" s="256">
        <f t="shared" si="49"/>
        <v>8.3554529999999989</v>
      </c>
      <c r="DE202" s="256">
        <f>IF(AZ202&gt;0,'Look Ups'!$S$3,0)</f>
        <v>1</v>
      </c>
      <c r="DF202" s="256">
        <f t="shared" si="50"/>
        <v>0</v>
      </c>
      <c r="DG202" s="256">
        <f t="shared" si="51"/>
        <v>0</v>
      </c>
      <c r="DH202" s="256">
        <f t="shared" si="52"/>
        <v>0</v>
      </c>
      <c r="DI202" s="280">
        <f t="shared" si="53"/>
        <v>0</v>
      </c>
      <c r="DJ202" s="295" t="str">
        <f t="shared" si="54"/>
        <v>valid</v>
      </c>
      <c r="DK202" s="266" t="str">
        <f t="shared" si="55"/>
        <v>valid</v>
      </c>
      <c r="DL202" s="267" t="str">
        <f t="shared" si="56"/>
        <v>MGScrSP</v>
      </c>
      <c r="DM202" s="294">
        <f t="shared" si="57"/>
        <v>22.907295000000005</v>
      </c>
      <c r="DN202" s="256">
        <f>IF(MSASP&gt;0,'Look Ups'!$AI$4*(ZVAL*MSASP-RSAG),0)</f>
        <v>6.1180641000000016</v>
      </c>
      <c r="DO202" s="256">
        <f>IF(AND(MSASC&gt;0,(MSASC&gt;=0.36*RSAM)),('Look Ups'!$AI$3*(ZVAL*MSASC-RSAG)),(0))</f>
        <v>1.9253956166666668</v>
      </c>
      <c r="DP202" s="256">
        <f>IF(MSASP&gt;0,'Look Ups'!$AI$5*(ZVAL*MSASP-RSAG),0)</f>
        <v>5.710193160000002</v>
      </c>
      <c r="DQ202" s="256">
        <f>IF(MSASC&gt;0,'Look Ups'!$AI$6*(MSASC-RSAG),0)</f>
        <v>0.38507912333333344</v>
      </c>
      <c r="DR202" s="280">
        <f>'Look Ups'!$AI$7*MAX(IF(MSAUSC&gt;0,EUSC/100*(MSAUSC-RSAG),0),IF(CR202="Yes",ELSC/100*(MSASC-RSAG),0))</f>
        <v>0.48614640155038658</v>
      </c>
      <c r="DS202" s="280">
        <f t="shared" si="58"/>
        <v>5.2386631200000009</v>
      </c>
      <c r="DT202" s="296">
        <f t="shared" si="59"/>
        <v>29.488713684883727</v>
      </c>
      <c r="DU202" s="14"/>
    </row>
    <row r="203" spans="1:125" ht="15.6" customHeight="1" x14ac:dyDescent="0.3">
      <c r="A203" s="4"/>
      <c r="B203" s="365"/>
      <c r="C203" s="369" t="s">
        <v>728</v>
      </c>
      <c r="D203" s="370" t="s">
        <v>729</v>
      </c>
      <c r="E203" s="371" t="s">
        <v>711</v>
      </c>
      <c r="F203" s="252">
        <f t="shared" ca="1" si="30"/>
        <v>0.91900000000000004</v>
      </c>
      <c r="G203" s="252" t="str">
        <f ca="1">IF(OR(FLSCR="ERROR",FLSPI="ERROR"),"No",IF(TODAY()-'Look Ups'!$D$4*365&gt;I203,"WP Applied","Yes"))</f>
        <v>WP Applied</v>
      </c>
      <c r="H203" s="253" t="str">
        <f t="shared" si="31"/>
        <v>Main-Genoa-Spinnaker</v>
      </c>
      <c r="I203" s="1">
        <v>37884</v>
      </c>
      <c r="J203" s="1"/>
      <c r="K203" s="87" t="s">
        <v>730</v>
      </c>
      <c r="L203" s="87" t="s">
        <v>641</v>
      </c>
      <c r="M203" s="207"/>
      <c r="N203" s="88" t="s">
        <v>271</v>
      </c>
      <c r="O203" s="88"/>
      <c r="P203" s="89"/>
      <c r="Q203" s="90">
        <v>8.1999999999999993</v>
      </c>
      <c r="R203" s="87"/>
      <c r="S203" s="256">
        <f t="shared" si="32"/>
        <v>0.20499999999999999</v>
      </c>
      <c r="T203" s="117">
        <v>0.04</v>
      </c>
      <c r="U203" s="117">
        <v>0</v>
      </c>
      <c r="V203" s="258">
        <f t="shared" si="33"/>
        <v>8.16</v>
      </c>
      <c r="W203" s="259">
        <f>IF(RL&gt;0,IF(RL&gt;'Look Ups'!Y$7,'Look Ups'!Y$8,('Look Ups'!Y$3*RL^3+'Look Ups'!Y$4*RL^2+'Look Ups'!Y$5*RL+'Look Ups'!Y$6)),0)</f>
        <v>0.29433033036800005</v>
      </c>
      <c r="X203" s="92">
        <v>1225</v>
      </c>
      <c r="Y203" s="263">
        <f ca="1">IF(WDATE&lt;(TODAY()-'Look Ups'!$D$4*365),-WM*'Look Ups'!$D$5/100,0)</f>
        <v>-183.75</v>
      </c>
      <c r="Z203" s="103"/>
      <c r="AA203" s="109"/>
      <c r="AB203" s="109"/>
      <c r="AC203" s="265">
        <f>WCD+NC*'Look Ups'!$AF$3</f>
        <v>0</v>
      </c>
      <c r="AD203" s="265">
        <f ca="1">IF(RL&lt;'Look Ups'!AM$3,'Look Ups'!AM$4,IF(RL&gt;'Look Ups'!AM$5,'Look Ups'!AM$6,(RL-'Look Ups'!AM$3)/('Look Ups'!AM$5-'Look Ups'!AM$3)*('Look Ups'!AM$6-'Look Ups'!AM$4)+'Look Ups'!AM$4))/100*WS</f>
        <v>257.09409090909088</v>
      </c>
      <c r="AE203" s="269">
        <f t="shared" ca="1" si="34"/>
        <v>1041.25</v>
      </c>
      <c r="AF203" s="267">
        <f t="shared" ca="1" si="35"/>
        <v>1041.25</v>
      </c>
      <c r="AG203" s="94" t="s">
        <v>145</v>
      </c>
      <c r="AH203" s="95" t="s">
        <v>146</v>
      </c>
      <c r="AI203" s="96" t="s">
        <v>147</v>
      </c>
      <c r="AJ203" s="218"/>
      <c r="AK203" s="273">
        <f>IF(C203="",0,VLOOKUP(AG203,'Look Ups'!$F$3:$G$6,2,0)*VLOOKUP(AH203,'Look Ups'!$I$3:$J$5,2,0)*VLOOKUP(AI203,'Look Ups'!$L$3:$M$7,2,0)*IF(AJ203="",1,VLOOKUP(AJ203,'Look Ups'!$O$3:$P$4,2,0)))</f>
        <v>1</v>
      </c>
      <c r="AL203" s="83">
        <v>10.48</v>
      </c>
      <c r="AM203" s="91">
        <v>10.220000000000001</v>
      </c>
      <c r="AN203" s="91">
        <v>3.23</v>
      </c>
      <c r="AO203" s="91">
        <v>0.99</v>
      </c>
      <c r="AP203" s="91">
        <v>0.59</v>
      </c>
      <c r="AQ203" s="91">
        <v>10.31</v>
      </c>
      <c r="AR203" s="91">
        <v>0.14000000000000001</v>
      </c>
      <c r="AS203" s="91">
        <v>3.32</v>
      </c>
      <c r="AT203" s="91">
        <v>0.02</v>
      </c>
      <c r="AU203" s="91">
        <v>0.46</v>
      </c>
      <c r="AV203" s="91" t="s">
        <v>148</v>
      </c>
      <c r="AW203" s="97">
        <v>0</v>
      </c>
      <c r="AX203" s="256">
        <f t="shared" si="36"/>
        <v>10.33</v>
      </c>
      <c r="AY203" s="256">
        <f t="shared" si="37"/>
        <v>1.778475</v>
      </c>
      <c r="AZ203" s="275">
        <f>IF(C203="",0,(0.5*(_ML1*LPM)+0.5*(_ML1*HB)+0.66*(P*PR)+0.66*(_ML2*RDM)+0.66*(E*ER))*VLOOKUP(BATT,'Look Ups'!$U$3:$V$4,2,0))</f>
        <v>27.088936</v>
      </c>
      <c r="BA203" s="98"/>
      <c r="BB203" s="99"/>
      <c r="BC203" s="83">
        <v>8.5299999999999994</v>
      </c>
      <c r="BD203" s="91">
        <v>3.22</v>
      </c>
      <c r="BE203" s="91">
        <v>3.55</v>
      </c>
      <c r="BF203" s="91">
        <v>0.11</v>
      </c>
      <c r="BG203" s="91">
        <v>7.72</v>
      </c>
      <c r="BH203" s="91"/>
      <c r="BI203" s="91"/>
      <c r="BJ203" s="91">
        <v>0.15</v>
      </c>
      <c r="BK203" s="91">
        <v>0.02</v>
      </c>
      <c r="BL203" s="97">
        <v>0</v>
      </c>
      <c r="BM203" s="275">
        <f t="shared" si="38"/>
        <v>14.867906</v>
      </c>
      <c r="BN203" s="319"/>
      <c r="BO203" s="320"/>
      <c r="BP203" s="321"/>
      <c r="BQ203" s="321"/>
      <c r="BR203" s="320"/>
      <c r="BS203" s="321"/>
      <c r="BT203" s="321"/>
      <c r="BU203" s="280">
        <f t="shared" si="39"/>
        <v>0</v>
      </c>
      <c r="BV203" s="322"/>
      <c r="BW203" s="320"/>
      <c r="BX203" s="320"/>
      <c r="BY203" s="320"/>
      <c r="BZ203" s="320"/>
      <c r="CA203" s="320"/>
      <c r="CB203" s="320"/>
      <c r="CC203" s="275">
        <f t="shared" si="40"/>
        <v>0</v>
      </c>
      <c r="CD203" s="98">
        <v>7.9</v>
      </c>
      <c r="CE203" s="91">
        <v>11.66</v>
      </c>
      <c r="CF203" s="91">
        <v>10.33</v>
      </c>
      <c r="CG203" s="91">
        <v>6.83</v>
      </c>
      <c r="CH203" s="266">
        <f t="shared" si="41"/>
        <v>86.455696202531641</v>
      </c>
      <c r="CI203" s="320"/>
      <c r="CJ203" s="280">
        <f t="shared" si="42"/>
        <v>64.540650000000014</v>
      </c>
      <c r="CK203" s="83"/>
      <c r="CL203" s="91"/>
      <c r="CM203" s="91"/>
      <c r="CN203" s="91"/>
      <c r="CO203" s="256" t="str">
        <f t="shared" si="43"/>
        <v/>
      </c>
      <c r="CP203" s="320"/>
      <c r="CQ203" s="256">
        <f t="shared" si="44"/>
        <v>0</v>
      </c>
      <c r="CR203" s="256" t="str">
        <f>IF(CO203&lt;'Look Ups'!$AC$4,"Yes","No")</f>
        <v>No</v>
      </c>
      <c r="CS203" s="293">
        <f>IF(CR203="Yes",MIN(150,('Look Ups'!$AC$4-PSCR)/('Look Ups'!$AC$4-'Look Ups'!$AC$3)*100),0)</f>
        <v>0</v>
      </c>
      <c r="CT203" s="83"/>
      <c r="CU203" s="91"/>
      <c r="CV203" s="91"/>
      <c r="CW203" s="91"/>
      <c r="CX203" s="256" t="str">
        <f t="shared" si="45"/>
        <v/>
      </c>
      <c r="CY203" s="293">
        <f>IF(PUSCR&lt;'Look Ups'!$AC$4,MIN(150,('Look Ups'!$AC$4-PUSCR)/('Look Ups'!$AC$4-'Look Ups'!$AC$3)*100),0)</f>
        <v>0</v>
      </c>
      <c r="CZ203" s="275">
        <f>IF(PUSCR&lt;'Look Ups'!$AC$4,USCRF*(USCRL1+USCRL2)/4+(USCRMG-USCRF/2)*(USCRL1+USCRL2)/3,0)</f>
        <v>0</v>
      </c>
      <c r="DA203" s="294">
        <f t="shared" si="46"/>
        <v>1</v>
      </c>
      <c r="DB203" s="256">
        <f t="shared" si="47"/>
        <v>28.867411000000001</v>
      </c>
      <c r="DC203" s="256">
        <f t="shared" si="48"/>
        <v>1</v>
      </c>
      <c r="DD203" s="256">
        <f t="shared" si="49"/>
        <v>14.867906</v>
      </c>
      <c r="DE203" s="256">
        <f>IF(AZ203&gt;0,'Look Ups'!$S$3,0)</f>
        <v>1</v>
      </c>
      <c r="DF203" s="256">
        <f t="shared" si="50"/>
        <v>0</v>
      </c>
      <c r="DG203" s="256">
        <f t="shared" si="51"/>
        <v>0</v>
      </c>
      <c r="DH203" s="256">
        <f t="shared" si="52"/>
        <v>0</v>
      </c>
      <c r="DI203" s="280">
        <f t="shared" si="53"/>
        <v>0</v>
      </c>
      <c r="DJ203" s="295" t="str">
        <f t="shared" si="54"/>
        <v>-</v>
      </c>
      <c r="DK203" s="266" t="str">
        <f t="shared" si="55"/>
        <v>valid</v>
      </c>
      <c r="DL203" s="267" t="str">
        <f t="shared" si="56"/>
        <v>MGSP</v>
      </c>
      <c r="DM203" s="294">
        <f t="shared" si="57"/>
        <v>43.735317000000002</v>
      </c>
      <c r="DN203" s="256">
        <f>IF(MSASP&gt;0,'Look Ups'!$AI$4*(ZVAL*MSASP-RSAG),0)</f>
        <v>14.901823200000004</v>
      </c>
      <c r="DO203" s="256">
        <f>IF(AND(MSASC&gt;0,(MSASC&gt;=0.36*RSAM)),('Look Ups'!$AI$3*(ZVAL*MSASC-RSAG)),(0))</f>
        <v>0</v>
      </c>
      <c r="DP203" s="256">
        <f>IF(MSASP&gt;0,'Look Ups'!$AI$5*(ZVAL*MSASP-RSAG),0)</f>
        <v>13.908368320000006</v>
      </c>
      <c r="DQ203" s="256">
        <f>IF(MSASC&gt;0,'Look Ups'!$AI$6*(MSASC-RSAG),0)</f>
        <v>0</v>
      </c>
      <c r="DR203" s="280">
        <f>'Look Ups'!$AI$7*MAX(IF(MSAUSC&gt;0,EUSC/100*(MSAUSC-RSAG),0),IF(CR203="Yes",ELSC/100*(MSASC-RSAG),0))</f>
        <v>0</v>
      </c>
      <c r="DS203" s="280">
        <f t="shared" si="58"/>
        <v>10.39226796</v>
      </c>
      <c r="DT203" s="296">
        <f t="shared" si="59"/>
        <v>58.637140200000005</v>
      </c>
      <c r="DU203" s="14"/>
    </row>
    <row r="204" spans="1:125" ht="15.6" customHeight="1" x14ac:dyDescent="0.3">
      <c r="A204" s="4"/>
      <c r="B204" s="365"/>
      <c r="C204" s="369" t="s">
        <v>731</v>
      </c>
      <c r="D204" s="370" t="s">
        <v>277</v>
      </c>
      <c r="E204" s="371" t="s">
        <v>732</v>
      </c>
      <c r="F204" s="252">
        <f t="shared" ca="1" si="30"/>
        <v>0.98399999999999999</v>
      </c>
      <c r="G204" s="252" t="str">
        <f ca="1">IF(OR(FLSCR="ERROR",FLSPI="ERROR"),"No",IF(TODAY()-'Look Ups'!$D$4*365&gt;I204,"WP Applied","Yes"))</f>
        <v>WP Applied</v>
      </c>
      <c r="H204" s="253" t="str">
        <f t="shared" si="31"/>
        <v>Main-Genoa-Screacher (Upwind)-Spinnaker</v>
      </c>
      <c r="I204" s="1">
        <v>40256</v>
      </c>
      <c r="J204" s="1">
        <v>40258</v>
      </c>
      <c r="K204" s="87" t="s">
        <v>607</v>
      </c>
      <c r="L204" s="87" t="s">
        <v>241</v>
      </c>
      <c r="M204" s="207"/>
      <c r="N204" s="88" t="s">
        <v>143</v>
      </c>
      <c r="O204" s="88" t="s">
        <v>154</v>
      </c>
      <c r="P204" s="89"/>
      <c r="Q204" s="90">
        <v>7.22</v>
      </c>
      <c r="R204" s="87"/>
      <c r="S204" s="256">
        <f t="shared" si="32"/>
        <v>0.18049999999999999</v>
      </c>
      <c r="T204" s="117">
        <v>0</v>
      </c>
      <c r="U204" s="117"/>
      <c r="V204" s="258">
        <f t="shared" si="33"/>
        <v>7.22</v>
      </c>
      <c r="W204" s="259">
        <f>IF(RL&gt;0,IF(RL&gt;'Look Ups'!Y$7,'Look Ups'!Y$8,('Look Ups'!Y$3*RL^3+'Look Ups'!Y$4*RL^2+'Look Ups'!Y$5*RL+'Look Ups'!Y$6)),0)</f>
        <v>0.29073035258400004</v>
      </c>
      <c r="X204" s="92">
        <v>800</v>
      </c>
      <c r="Y204" s="263">
        <f ca="1">IF(WDATE&lt;(TODAY()-'Look Ups'!$D$4*365),-WM*'Look Ups'!$D$5/100,0)</f>
        <v>-120</v>
      </c>
      <c r="Z204" s="103"/>
      <c r="AA204" s="109"/>
      <c r="AB204" s="109"/>
      <c r="AC204" s="265">
        <f>WCD+NC*'Look Ups'!$AF$3</f>
        <v>0</v>
      </c>
      <c r="AD204" s="265">
        <f ca="1">IF(RL&lt;'Look Ups'!AM$3,'Look Ups'!AM$4,IF(RL&gt;'Look Ups'!AM$5,'Look Ups'!AM$6,(RL-'Look Ups'!AM$3)/('Look Ups'!AM$5-'Look Ups'!AM$3)*('Look Ups'!AM$6-'Look Ups'!AM$4)+'Look Ups'!AM$4))/100*WS</f>
        <v>191.14181818181819</v>
      </c>
      <c r="AE204" s="269">
        <f t="shared" ca="1" si="34"/>
        <v>680</v>
      </c>
      <c r="AF204" s="267">
        <f t="shared" ca="1" si="35"/>
        <v>680</v>
      </c>
      <c r="AG204" s="94" t="s">
        <v>155</v>
      </c>
      <c r="AH204" s="95" t="s">
        <v>146</v>
      </c>
      <c r="AI204" s="96" t="s">
        <v>147</v>
      </c>
      <c r="AJ204" s="218"/>
      <c r="AK204" s="273">
        <f>IF(C204="",0,VLOOKUP(AG204,'Look Ups'!$F$3:$G$6,2,0)*VLOOKUP(AH204,'Look Ups'!$I$3:$J$5,2,0)*VLOOKUP(AI204,'Look Ups'!$L$3:$M$7,2,0)*IF(AJ204="",1,VLOOKUP(AJ204,'Look Ups'!$O$3:$P$4,2,0)))</f>
        <v>0.99</v>
      </c>
      <c r="AL204" s="83">
        <v>10.84</v>
      </c>
      <c r="AM204" s="91">
        <v>10.62</v>
      </c>
      <c r="AN204" s="91">
        <v>3.5</v>
      </c>
      <c r="AO204" s="91">
        <v>1.2</v>
      </c>
      <c r="AP204" s="91">
        <v>0.35</v>
      </c>
      <c r="AQ204" s="91">
        <v>10.8</v>
      </c>
      <c r="AR204" s="91">
        <v>0.1</v>
      </c>
      <c r="AS204" s="91">
        <v>3.65</v>
      </c>
      <c r="AT204" s="91">
        <v>0</v>
      </c>
      <c r="AU204" s="91">
        <v>0.46</v>
      </c>
      <c r="AV204" s="91" t="s">
        <v>148</v>
      </c>
      <c r="AW204" s="97"/>
      <c r="AX204" s="256">
        <f t="shared" si="36"/>
        <v>10.8</v>
      </c>
      <c r="AY204" s="256">
        <f t="shared" si="37"/>
        <v>1.8630000000000004</v>
      </c>
      <c r="AZ204" s="275">
        <f>IF(C204="",0,(0.5*(_ML1*LPM)+0.5*(_ML1*HB)+0.66*(P*PR)+0.66*(_ML2*RDM)+0.66*(E*ER))*VLOOKUP(BATT,'Look Ups'!$U$3:$V$4,2,0))</f>
        <v>28.64002</v>
      </c>
      <c r="BA204" s="98"/>
      <c r="BB204" s="99"/>
      <c r="BC204" s="83">
        <v>9.4700000000000006</v>
      </c>
      <c r="BD204" s="91">
        <v>2.5</v>
      </c>
      <c r="BE204" s="91">
        <v>2.84</v>
      </c>
      <c r="BF204" s="91">
        <v>0.1</v>
      </c>
      <c r="BG204" s="91">
        <v>8.5399999999999991</v>
      </c>
      <c r="BH204" s="91"/>
      <c r="BI204" s="91"/>
      <c r="BJ204" s="91"/>
      <c r="BK204" s="91"/>
      <c r="BL204" s="97"/>
      <c r="BM204" s="275">
        <f t="shared" si="38"/>
        <v>12.024940000000001</v>
      </c>
      <c r="BN204" s="319"/>
      <c r="BO204" s="320"/>
      <c r="BP204" s="321"/>
      <c r="BQ204" s="321"/>
      <c r="BR204" s="320"/>
      <c r="BS204" s="321"/>
      <c r="BT204" s="321"/>
      <c r="BU204" s="280">
        <f t="shared" si="39"/>
        <v>0</v>
      </c>
      <c r="BV204" s="322"/>
      <c r="BW204" s="320"/>
      <c r="BX204" s="320"/>
      <c r="BY204" s="320"/>
      <c r="BZ204" s="320"/>
      <c r="CA204" s="320"/>
      <c r="CB204" s="320"/>
      <c r="CC204" s="275">
        <f t="shared" si="40"/>
        <v>0</v>
      </c>
      <c r="CD204" s="98">
        <v>6.7</v>
      </c>
      <c r="CE204" s="91">
        <v>8.65</v>
      </c>
      <c r="CF204" s="91">
        <v>11.13</v>
      </c>
      <c r="CG204" s="91">
        <v>6.21</v>
      </c>
      <c r="CH204" s="266">
        <f t="shared" si="41"/>
        <v>92.686567164179095</v>
      </c>
      <c r="CI204" s="320"/>
      <c r="CJ204" s="280">
        <f t="shared" si="42"/>
        <v>51.988433333333333</v>
      </c>
      <c r="CK204" s="83">
        <v>5.82</v>
      </c>
      <c r="CL204" s="91">
        <v>10.75</v>
      </c>
      <c r="CM204" s="91">
        <v>9.8800000000000008</v>
      </c>
      <c r="CN204" s="91">
        <v>2.95</v>
      </c>
      <c r="CO204" s="256">
        <f t="shared" si="43"/>
        <v>50.687285223367695</v>
      </c>
      <c r="CP204" s="320"/>
      <c r="CQ204" s="256">
        <f t="shared" si="44"/>
        <v>30.291716666666673</v>
      </c>
      <c r="CR204" s="256" t="str">
        <f>IF(CO204&lt;'Look Ups'!$AC$4,"Yes","No")</f>
        <v>Yes</v>
      </c>
      <c r="CS204" s="293">
        <f>IF(CR204="Yes",MIN(150,('Look Ups'!$AC$4-PSCR)/('Look Ups'!$AC$4-'Look Ups'!$AC$3)*100),0)</f>
        <v>26.2542955326461</v>
      </c>
      <c r="CT204" s="83"/>
      <c r="CU204" s="91"/>
      <c r="CV204" s="91"/>
      <c r="CW204" s="91"/>
      <c r="CX204" s="256" t="str">
        <f t="shared" si="45"/>
        <v/>
      </c>
      <c r="CY204" s="293">
        <f>IF(PUSCR&lt;'Look Ups'!$AC$4,MIN(150,('Look Ups'!$AC$4-PUSCR)/('Look Ups'!$AC$4-'Look Ups'!$AC$3)*100),0)</f>
        <v>0</v>
      </c>
      <c r="CZ204" s="275">
        <f>IF(PUSCR&lt;'Look Ups'!$AC$4,USCRF*(USCRL1+USCRL2)/4+(USCRMG-USCRF/2)*(USCRL1+USCRL2)/3,0)</f>
        <v>0</v>
      </c>
      <c r="DA204" s="294">
        <f t="shared" si="46"/>
        <v>1</v>
      </c>
      <c r="DB204" s="256">
        <f t="shared" si="47"/>
        <v>30.503019999999999</v>
      </c>
      <c r="DC204" s="256">
        <f t="shared" si="48"/>
        <v>1</v>
      </c>
      <c r="DD204" s="256">
        <f t="shared" si="49"/>
        <v>12.024940000000001</v>
      </c>
      <c r="DE204" s="256">
        <f>IF(AZ204&gt;0,'Look Ups'!$S$3,0)</f>
        <v>1</v>
      </c>
      <c r="DF204" s="256">
        <f t="shared" si="50"/>
        <v>0</v>
      </c>
      <c r="DG204" s="256">
        <f t="shared" si="51"/>
        <v>0</v>
      </c>
      <c r="DH204" s="256">
        <f t="shared" si="52"/>
        <v>0</v>
      </c>
      <c r="DI204" s="280">
        <f t="shared" si="53"/>
        <v>0</v>
      </c>
      <c r="DJ204" s="295" t="str">
        <f t="shared" si="54"/>
        <v>valid</v>
      </c>
      <c r="DK204" s="266" t="str">
        <f t="shared" si="55"/>
        <v>valid</v>
      </c>
      <c r="DL204" s="267" t="str">
        <f t="shared" si="56"/>
        <v>MGScrSP</v>
      </c>
      <c r="DM204" s="294">
        <f t="shared" si="57"/>
        <v>42.52796</v>
      </c>
      <c r="DN204" s="256">
        <f>IF(MSASP&gt;0,'Look Ups'!$AI$4*(ZVAL*MSASP-RSAG),0)</f>
        <v>11.989047999999999</v>
      </c>
      <c r="DO204" s="256">
        <f>IF(AND(MSASC&gt;0,(MSASC&gt;=0.36*RSAM)),('Look Ups'!$AI$3*(ZVAL*MSASC-RSAG)),(0))</f>
        <v>6.3933718333333349</v>
      </c>
      <c r="DP204" s="256">
        <f>IF(MSASP&gt;0,'Look Ups'!$AI$5*(ZVAL*MSASP-RSAG),0)</f>
        <v>11.189778133333334</v>
      </c>
      <c r="DQ204" s="256">
        <f>IF(MSASC&gt;0,'Look Ups'!$AI$6*(MSASC-RSAG),0)</f>
        <v>1.2786743666666671</v>
      </c>
      <c r="DR204" s="280">
        <f>'Look Ups'!$AI$7*MAX(IF(MSAUSC&gt;0,EUSC/100*(MSAUSC-RSAG),0),IF(CR204="Yes",ELSC/100*(MSASC-RSAG),0))</f>
        <v>1.198953382588777</v>
      </c>
      <c r="DS204" s="280">
        <f t="shared" si="58"/>
        <v>10.981087199999999</v>
      </c>
      <c r="DT204" s="296">
        <f t="shared" si="59"/>
        <v>56.195365882588774</v>
      </c>
      <c r="DU204" s="14"/>
    </row>
    <row r="205" spans="1:125" ht="15.6" customHeight="1" x14ac:dyDescent="0.3">
      <c r="A205" s="4"/>
      <c r="B205" s="365"/>
      <c r="C205" s="369" t="s">
        <v>733</v>
      </c>
      <c r="D205" s="370" t="s">
        <v>734</v>
      </c>
      <c r="E205" s="371" t="s">
        <v>735</v>
      </c>
      <c r="F205" s="252">
        <f t="shared" ca="1" si="30"/>
        <v>0.878</v>
      </c>
      <c r="G205" s="252" t="str">
        <f ca="1">IF(OR(FLSCR="ERROR",FLSPI="ERROR"),"No",IF(TODAY()-'Look Ups'!$D$4*365&gt;I205,"WP Applied","Yes"))</f>
        <v>WP Applied</v>
      </c>
      <c r="H205" s="253" t="str">
        <f t="shared" si="31"/>
        <v>Main-Genoa-Screacher (Upwind)-Spinnaker</v>
      </c>
      <c r="I205" s="1">
        <v>39355</v>
      </c>
      <c r="J205" s="1">
        <v>40504</v>
      </c>
      <c r="K205" s="87" t="s">
        <v>218</v>
      </c>
      <c r="L205" s="87" t="s">
        <v>170</v>
      </c>
      <c r="M205" s="207"/>
      <c r="N205" s="88" t="s">
        <v>143</v>
      </c>
      <c r="O205" s="88" t="s">
        <v>154</v>
      </c>
      <c r="P205" s="89"/>
      <c r="Q205" s="90">
        <v>7.41</v>
      </c>
      <c r="R205" s="87"/>
      <c r="S205" s="256">
        <f t="shared" si="32"/>
        <v>0.18525000000000003</v>
      </c>
      <c r="T205" s="117">
        <v>0.21</v>
      </c>
      <c r="U205" s="117">
        <v>0</v>
      </c>
      <c r="V205" s="258">
        <f t="shared" si="33"/>
        <v>7.2</v>
      </c>
      <c r="W205" s="259">
        <f>IF(RL&gt;0,IF(RL&gt;'Look Ups'!Y$7,'Look Ups'!Y$8,('Look Ups'!Y$3*RL^3+'Look Ups'!Y$4*RL^2+'Look Ups'!Y$5*RL+'Look Ups'!Y$6)),0)</f>
        <v>0.29064118400000005</v>
      </c>
      <c r="X205" s="92">
        <v>984</v>
      </c>
      <c r="Y205" s="263">
        <f ca="1">IF(WDATE&lt;(TODAY()-'Look Ups'!$D$4*365),-WM*'Look Ups'!$D$5/100,0)</f>
        <v>-147.6</v>
      </c>
      <c r="Z205" s="103"/>
      <c r="AA205" s="109"/>
      <c r="AB205" s="109"/>
      <c r="AC205" s="265">
        <f>WCD+NC*'Look Ups'!$AF$3</f>
        <v>0</v>
      </c>
      <c r="AD205" s="265">
        <f ca="1">IF(RL&lt;'Look Ups'!AM$3,'Look Ups'!AM$4,IF(RL&gt;'Look Ups'!AM$5,'Look Ups'!AM$6,(RL-'Look Ups'!AM$3)/('Look Ups'!AM$5-'Look Ups'!AM$3)*('Look Ups'!AM$6-'Look Ups'!AM$4)+'Look Ups'!AM$4))/100*WS</f>
        <v>235.71272727272725</v>
      </c>
      <c r="AE205" s="269">
        <f t="shared" ca="1" si="34"/>
        <v>836.4</v>
      </c>
      <c r="AF205" s="267">
        <f t="shared" ca="1" si="35"/>
        <v>836.4</v>
      </c>
      <c r="AG205" s="94" t="s">
        <v>145</v>
      </c>
      <c r="AH205" s="95" t="s">
        <v>146</v>
      </c>
      <c r="AI205" s="96" t="s">
        <v>147</v>
      </c>
      <c r="AJ205" s="218"/>
      <c r="AK205" s="273">
        <f>IF(C205="",0,VLOOKUP(AG205,'Look Ups'!$F$3:$G$6,2,0)*VLOOKUP(AH205,'Look Ups'!$I$3:$J$5,2,0)*VLOOKUP(AI205,'Look Ups'!$L$3:$M$7,2,0)*IF(AJ205="",1,VLOOKUP(AJ205,'Look Ups'!$O$3:$P$4,2,0)))</f>
        <v>1</v>
      </c>
      <c r="AL205" s="83">
        <v>9.4499999999999993</v>
      </c>
      <c r="AM205" s="91">
        <v>9.19</v>
      </c>
      <c r="AN205" s="91">
        <v>3.12</v>
      </c>
      <c r="AO205" s="91">
        <v>0.74</v>
      </c>
      <c r="AP205" s="91">
        <v>0.78</v>
      </c>
      <c r="AQ205" s="91">
        <v>8.9600000000000009</v>
      </c>
      <c r="AR205" s="91">
        <v>0.14000000000000001</v>
      </c>
      <c r="AS205" s="91">
        <v>3.28</v>
      </c>
      <c r="AT205" s="91">
        <v>0.02</v>
      </c>
      <c r="AU205" s="91">
        <v>0.4</v>
      </c>
      <c r="AV205" s="91" t="s">
        <v>148</v>
      </c>
      <c r="AW205" s="97">
        <v>0</v>
      </c>
      <c r="AX205" s="256">
        <f t="shared" si="36"/>
        <v>8.98</v>
      </c>
      <c r="AY205" s="256">
        <f t="shared" si="37"/>
        <v>1.3440000000000003</v>
      </c>
      <c r="AZ205" s="275">
        <f>IF(C205="",0,(0.5*(_ML1*LPM)+0.5*(_ML1*HB)+0.66*(P*PR)+0.66*(_ML2*RDM)+0.66*(E*ER))*VLOOKUP(BATT,'Look Ups'!$U$3:$V$4,2,0))</f>
        <v>23.840712</v>
      </c>
      <c r="BA205" s="98"/>
      <c r="BB205" s="99"/>
      <c r="BC205" s="83">
        <v>8.1</v>
      </c>
      <c r="BD205" s="91">
        <v>2.72</v>
      </c>
      <c r="BE205" s="91">
        <v>3.05</v>
      </c>
      <c r="BF205" s="91">
        <v>0.05</v>
      </c>
      <c r="BG205" s="91">
        <v>7.26</v>
      </c>
      <c r="BH205" s="91"/>
      <c r="BI205" s="91"/>
      <c r="BJ205" s="91">
        <v>7.0000000000000007E-2</v>
      </c>
      <c r="BK205" s="91">
        <v>0.04</v>
      </c>
      <c r="BL205" s="97">
        <v>0</v>
      </c>
      <c r="BM205" s="275">
        <f t="shared" si="38"/>
        <v>11.665901999999999</v>
      </c>
      <c r="BN205" s="319"/>
      <c r="BO205" s="320"/>
      <c r="BP205" s="321"/>
      <c r="BQ205" s="321"/>
      <c r="BR205" s="320"/>
      <c r="BS205" s="321"/>
      <c r="BT205" s="321"/>
      <c r="BU205" s="280">
        <f t="shared" si="39"/>
        <v>0</v>
      </c>
      <c r="BV205" s="322"/>
      <c r="BW205" s="320"/>
      <c r="BX205" s="320"/>
      <c r="BY205" s="320"/>
      <c r="BZ205" s="320"/>
      <c r="CA205" s="320"/>
      <c r="CB205" s="320"/>
      <c r="CC205" s="275">
        <f t="shared" si="40"/>
        <v>0</v>
      </c>
      <c r="CD205" s="98">
        <v>6</v>
      </c>
      <c r="CE205" s="91">
        <v>10.83</v>
      </c>
      <c r="CF205" s="91">
        <v>8.5500000000000007</v>
      </c>
      <c r="CG205" s="91">
        <v>6.03</v>
      </c>
      <c r="CH205" s="266">
        <f t="shared" si="41"/>
        <v>100.50000000000001</v>
      </c>
      <c r="CI205" s="320"/>
      <c r="CJ205" s="280">
        <f t="shared" si="42"/>
        <v>48.643800000000006</v>
      </c>
      <c r="CK205" s="83">
        <v>5.13</v>
      </c>
      <c r="CL205" s="91">
        <v>9.19</v>
      </c>
      <c r="CM205" s="91">
        <v>8.01</v>
      </c>
      <c r="CN205" s="91">
        <v>2.5750000000000002</v>
      </c>
      <c r="CO205" s="256">
        <f t="shared" si="43"/>
        <v>50.194931773879148</v>
      </c>
      <c r="CP205" s="320"/>
      <c r="CQ205" s="256">
        <f t="shared" si="44"/>
        <v>22.116333333333333</v>
      </c>
      <c r="CR205" s="256" t="str">
        <f>IF(CO205&lt;'Look Ups'!$AC$4,"Yes","No")</f>
        <v>Yes</v>
      </c>
      <c r="CS205" s="293">
        <f>IF(CR205="Yes",MIN(150,('Look Ups'!$AC$4-PSCR)/('Look Ups'!$AC$4-'Look Ups'!$AC$3)*100),0)</f>
        <v>36.101364522417043</v>
      </c>
      <c r="CT205" s="83"/>
      <c r="CU205" s="91"/>
      <c r="CV205" s="91"/>
      <c r="CW205" s="91"/>
      <c r="CX205" s="256" t="str">
        <f t="shared" si="45"/>
        <v/>
      </c>
      <c r="CY205" s="293">
        <f>IF(PUSCR&lt;'Look Ups'!$AC$4,MIN(150,('Look Ups'!$AC$4-PUSCR)/('Look Ups'!$AC$4-'Look Ups'!$AC$3)*100),0)</f>
        <v>0</v>
      </c>
      <c r="CZ205" s="275">
        <f>IF(PUSCR&lt;'Look Ups'!$AC$4,USCRF*(USCRL1+USCRL2)/4+(USCRMG-USCRF/2)*(USCRL1+USCRL2)/3,0)</f>
        <v>0</v>
      </c>
      <c r="DA205" s="294">
        <f t="shared" si="46"/>
        <v>1</v>
      </c>
      <c r="DB205" s="256">
        <f t="shared" si="47"/>
        <v>25.184712000000005</v>
      </c>
      <c r="DC205" s="256">
        <f t="shared" si="48"/>
        <v>1</v>
      </c>
      <c r="DD205" s="256">
        <f t="shared" si="49"/>
        <v>11.665901999999999</v>
      </c>
      <c r="DE205" s="256">
        <f>IF(AZ205&gt;0,'Look Ups'!$S$3,0)</f>
        <v>1</v>
      </c>
      <c r="DF205" s="256">
        <f t="shared" si="50"/>
        <v>0</v>
      </c>
      <c r="DG205" s="256">
        <f t="shared" si="51"/>
        <v>0</v>
      </c>
      <c r="DH205" s="256">
        <f t="shared" si="52"/>
        <v>0</v>
      </c>
      <c r="DI205" s="280">
        <f t="shared" si="53"/>
        <v>0</v>
      </c>
      <c r="DJ205" s="295" t="str">
        <f t="shared" si="54"/>
        <v>valid</v>
      </c>
      <c r="DK205" s="266" t="str">
        <f t="shared" si="55"/>
        <v>valid</v>
      </c>
      <c r="DL205" s="267" t="str">
        <f t="shared" si="56"/>
        <v>MGScrSP</v>
      </c>
      <c r="DM205" s="294">
        <f t="shared" si="57"/>
        <v>36.850614000000007</v>
      </c>
      <c r="DN205" s="256">
        <f>IF(MSASP&gt;0,'Look Ups'!$AI$4*(ZVAL*MSASP-RSAG),0)</f>
        <v>11.093369400000002</v>
      </c>
      <c r="DO205" s="256">
        <f>IF(AND(MSASC&gt;0,(MSASC&gt;=0.36*RSAM)),('Look Ups'!$AI$3*(ZVAL*MSASC-RSAG)),(0))</f>
        <v>3.6576509666666666</v>
      </c>
      <c r="DP205" s="256">
        <f>IF(MSASP&gt;0,'Look Ups'!$AI$5*(ZVAL*MSASP-RSAG),0)</f>
        <v>10.353811440000005</v>
      </c>
      <c r="DQ205" s="256">
        <f>IF(MSASC&gt;0,'Look Ups'!$AI$6*(MSASC-RSAG),0)</f>
        <v>0.73153019333333347</v>
      </c>
      <c r="DR205" s="280">
        <f>'Look Ups'!$AI$7*MAX(IF(MSAUSC&gt;0,EUSC/100*(MSAUSC-RSAG),0),IF(CR205="Yes",ELSC/100*(MSASC-RSAG),0))</f>
        <v>0.94318707745288877</v>
      </c>
      <c r="DS205" s="280">
        <f t="shared" si="58"/>
        <v>9.0664963200000006</v>
      </c>
      <c r="DT205" s="296">
        <f t="shared" si="59"/>
        <v>48.879142710786233</v>
      </c>
      <c r="DU205" s="14"/>
    </row>
    <row r="206" spans="1:125" ht="15.6" customHeight="1" x14ac:dyDescent="0.3">
      <c r="A206" s="4"/>
      <c r="B206" s="365"/>
      <c r="C206" s="369" t="s">
        <v>736</v>
      </c>
      <c r="D206" s="370" t="s">
        <v>737</v>
      </c>
      <c r="E206" s="371" t="s">
        <v>738</v>
      </c>
      <c r="F206" s="252">
        <f t="shared" ca="1" si="30"/>
        <v>0.95699999999999996</v>
      </c>
      <c r="G206" s="252" t="str">
        <f ca="1">IF(OR(FLSCR="ERROR",FLSPI="ERROR"),"No",IF(TODAY()-'Look Ups'!$D$4*365&gt;I206,"WP Applied","Yes"))</f>
        <v>WP Applied</v>
      </c>
      <c r="H206" s="253" t="str">
        <f t="shared" si="31"/>
        <v>Main-Genoa-Spinnaker</v>
      </c>
      <c r="I206" s="1">
        <v>37883</v>
      </c>
      <c r="J206" s="1">
        <v>39346</v>
      </c>
      <c r="K206" s="87" t="s">
        <v>445</v>
      </c>
      <c r="L206" s="87" t="s">
        <v>182</v>
      </c>
      <c r="M206" s="207"/>
      <c r="N206" s="88" t="s">
        <v>271</v>
      </c>
      <c r="O206" s="88"/>
      <c r="P206" s="89"/>
      <c r="Q206" s="90">
        <v>8.2799999999999994</v>
      </c>
      <c r="R206" s="87"/>
      <c r="S206" s="256">
        <f t="shared" si="32"/>
        <v>0.20699999999999999</v>
      </c>
      <c r="T206" s="117">
        <v>0.06</v>
      </c>
      <c r="U206" s="117">
        <v>0</v>
      </c>
      <c r="V206" s="258">
        <f t="shared" si="33"/>
        <v>8.2199999999999989</v>
      </c>
      <c r="W206" s="259">
        <f>IF(RL&gt;0,IF(RL&gt;'Look Ups'!Y$7,'Look Ups'!Y$8,('Look Ups'!Y$3*RL^3+'Look Ups'!Y$4*RL^2+'Look Ups'!Y$5*RL+'Look Ups'!Y$6)),0)</f>
        <v>0.29452284418400004</v>
      </c>
      <c r="X206" s="92">
        <v>1110</v>
      </c>
      <c r="Y206" s="263">
        <f ca="1">IF(WDATE&lt;(TODAY()-'Look Ups'!$D$4*365),-WM*'Look Ups'!$D$5/100,0)</f>
        <v>-166.5</v>
      </c>
      <c r="Z206" s="103"/>
      <c r="AA206" s="109"/>
      <c r="AB206" s="109"/>
      <c r="AC206" s="265">
        <f>WCD+NC*'Look Ups'!$AF$3</f>
        <v>0</v>
      </c>
      <c r="AD206" s="265">
        <f ca="1">IF(RL&lt;'Look Ups'!AM$3,'Look Ups'!AM$4,IF(RL&gt;'Look Ups'!AM$5,'Look Ups'!AM$6,(RL-'Look Ups'!AM$3)/('Look Ups'!AM$5-'Look Ups'!AM$3)*('Look Ups'!AM$6-'Look Ups'!AM$4)+'Look Ups'!AM$4))/100*WS</f>
        <v>230.90018181818186</v>
      </c>
      <c r="AE206" s="269">
        <f t="shared" ca="1" si="34"/>
        <v>943.5</v>
      </c>
      <c r="AF206" s="267">
        <f t="shared" ca="1" si="35"/>
        <v>943.5</v>
      </c>
      <c r="AG206" s="94" t="s">
        <v>145</v>
      </c>
      <c r="AH206" s="95" t="s">
        <v>146</v>
      </c>
      <c r="AI206" s="96" t="s">
        <v>147</v>
      </c>
      <c r="AJ206" s="218"/>
      <c r="AK206" s="273">
        <f>IF(C206="",0,VLOOKUP(AG206,'Look Ups'!$F$3:$G$6,2,0)*VLOOKUP(AH206,'Look Ups'!$I$3:$J$5,2,0)*VLOOKUP(AI206,'Look Ups'!$L$3:$M$7,2,0)*IF(AJ206="",1,VLOOKUP(AJ206,'Look Ups'!$O$3:$P$4,2,0)))</f>
        <v>1</v>
      </c>
      <c r="AL206" s="83">
        <v>10.76</v>
      </c>
      <c r="AM206" s="91">
        <v>10.3</v>
      </c>
      <c r="AN206" s="91">
        <v>3.16</v>
      </c>
      <c r="AO206" s="91">
        <v>1.6800000000000002</v>
      </c>
      <c r="AP206" s="91">
        <v>0.28000000000000003</v>
      </c>
      <c r="AQ206" s="91">
        <v>10.47</v>
      </c>
      <c r="AR206" s="91">
        <v>0.13</v>
      </c>
      <c r="AS206" s="91">
        <v>3.18</v>
      </c>
      <c r="AT206" s="91">
        <v>0.01</v>
      </c>
      <c r="AU206" s="91">
        <v>0.45</v>
      </c>
      <c r="AV206" s="91" t="s">
        <v>148</v>
      </c>
      <c r="AW206" s="97">
        <v>0</v>
      </c>
      <c r="AX206" s="256">
        <f t="shared" si="36"/>
        <v>10.48</v>
      </c>
      <c r="AY206" s="256">
        <f t="shared" si="37"/>
        <v>1.7668125000000003</v>
      </c>
      <c r="AZ206" s="275">
        <f>IF(C206="",0,(0.5*(_ML1*LPM)+0.5*(_ML1*HB)+0.66*(P*PR)+0.66*(_ML2*RDM)+0.66*(E*ER))*VLOOKUP(BATT,'Look Ups'!$U$3:$V$4,2,0))</f>
        <v>28.861954000000001</v>
      </c>
      <c r="BA206" s="98"/>
      <c r="BB206" s="99"/>
      <c r="BC206" s="83">
        <v>9.09</v>
      </c>
      <c r="BD206" s="91">
        <v>2.72</v>
      </c>
      <c r="BE206" s="91">
        <v>3.07</v>
      </c>
      <c r="BF206" s="91">
        <v>0.75</v>
      </c>
      <c r="BG206" s="91">
        <v>8.1300000000000008</v>
      </c>
      <c r="BH206" s="91"/>
      <c r="BI206" s="91"/>
      <c r="BJ206" s="91">
        <v>0.13</v>
      </c>
      <c r="BK206" s="91">
        <v>-0.06</v>
      </c>
      <c r="BL206" s="97">
        <v>0</v>
      </c>
      <c r="BM206" s="275">
        <f t="shared" si="38"/>
        <v>14.219640000000002</v>
      </c>
      <c r="BN206" s="319"/>
      <c r="BO206" s="320"/>
      <c r="BP206" s="321"/>
      <c r="BQ206" s="321"/>
      <c r="BR206" s="320"/>
      <c r="BS206" s="321"/>
      <c r="BT206" s="321"/>
      <c r="BU206" s="280">
        <f t="shared" si="39"/>
        <v>0</v>
      </c>
      <c r="BV206" s="322"/>
      <c r="BW206" s="320"/>
      <c r="BX206" s="320"/>
      <c r="BY206" s="320"/>
      <c r="BZ206" s="320"/>
      <c r="CA206" s="320"/>
      <c r="CB206" s="320"/>
      <c r="CC206" s="275">
        <f t="shared" si="40"/>
        <v>0</v>
      </c>
      <c r="CD206" s="98">
        <v>7.49</v>
      </c>
      <c r="CE206" s="91">
        <v>12.14</v>
      </c>
      <c r="CF206" s="91">
        <v>10.59</v>
      </c>
      <c r="CG206" s="91">
        <v>6.45</v>
      </c>
      <c r="CH206" s="266">
        <f t="shared" si="41"/>
        <v>86.114819759679577</v>
      </c>
      <c r="CI206" s="320"/>
      <c r="CJ206" s="280">
        <f t="shared" si="42"/>
        <v>63.056808333333336</v>
      </c>
      <c r="CK206" s="83"/>
      <c r="CL206" s="91"/>
      <c r="CM206" s="91"/>
      <c r="CN206" s="91"/>
      <c r="CO206" s="256" t="str">
        <f t="shared" si="43"/>
        <v/>
      </c>
      <c r="CP206" s="320"/>
      <c r="CQ206" s="256">
        <f t="shared" si="44"/>
        <v>0</v>
      </c>
      <c r="CR206" s="256" t="str">
        <f>IF(CO206&lt;'Look Ups'!$AC$4,"Yes","No")</f>
        <v>No</v>
      </c>
      <c r="CS206" s="293">
        <f>IF(CR206="Yes",MIN(150,('Look Ups'!$AC$4-PSCR)/('Look Ups'!$AC$4-'Look Ups'!$AC$3)*100),0)</f>
        <v>0</v>
      </c>
      <c r="CT206" s="83"/>
      <c r="CU206" s="91"/>
      <c r="CV206" s="91"/>
      <c r="CW206" s="91"/>
      <c r="CX206" s="256" t="str">
        <f t="shared" si="45"/>
        <v/>
      </c>
      <c r="CY206" s="293">
        <f>IF(PUSCR&lt;'Look Ups'!$AC$4,MIN(150,('Look Ups'!$AC$4-PUSCR)/('Look Ups'!$AC$4-'Look Ups'!$AC$3)*100),0)</f>
        <v>0</v>
      </c>
      <c r="CZ206" s="275">
        <f>IF(PUSCR&lt;'Look Ups'!$AC$4,USCRF*(USCRL1+USCRL2)/4+(USCRMG-USCRF/2)*(USCRL1+USCRL2)/3,0)</f>
        <v>0</v>
      </c>
      <c r="DA206" s="294">
        <f t="shared" si="46"/>
        <v>1</v>
      </c>
      <c r="DB206" s="256">
        <f t="shared" si="47"/>
        <v>30.628766500000001</v>
      </c>
      <c r="DC206" s="256">
        <f t="shared" si="48"/>
        <v>1</v>
      </c>
      <c r="DD206" s="256">
        <f t="shared" si="49"/>
        <v>14.219640000000002</v>
      </c>
      <c r="DE206" s="256">
        <f>IF(AZ206&gt;0,'Look Ups'!$S$3,0)</f>
        <v>1</v>
      </c>
      <c r="DF206" s="256">
        <f t="shared" si="50"/>
        <v>0</v>
      </c>
      <c r="DG206" s="256">
        <f t="shared" si="51"/>
        <v>0</v>
      </c>
      <c r="DH206" s="256">
        <f t="shared" si="52"/>
        <v>0</v>
      </c>
      <c r="DI206" s="280">
        <f t="shared" si="53"/>
        <v>0</v>
      </c>
      <c r="DJ206" s="295" t="str">
        <f t="shared" si="54"/>
        <v>-</v>
      </c>
      <c r="DK206" s="266" t="str">
        <f t="shared" si="55"/>
        <v>valid</v>
      </c>
      <c r="DL206" s="267" t="str">
        <f t="shared" si="56"/>
        <v>MGSP</v>
      </c>
      <c r="DM206" s="294">
        <f t="shared" si="57"/>
        <v>44.848406500000003</v>
      </c>
      <c r="DN206" s="256">
        <f>IF(MSASP&gt;0,'Look Ups'!$AI$4*(ZVAL*MSASP-RSAG),0)</f>
        <v>14.6511505</v>
      </c>
      <c r="DO206" s="256">
        <f>IF(AND(MSASC&gt;0,(MSASC&gt;=0.36*RSAM)),('Look Ups'!$AI$3*(ZVAL*MSASC-RSAG)),(0))</f>
        <v>0</v>
      </c>
      <c r="DP206" s="256">
        <f>IF(MSASP&gt;0,'Look Ups'!$AI$5*(ZVAL*MSASP-RSAG),0)</f>
        <v>13.674407133333336</v>
      </c>
      <c r="DQ206" s="256">
        <f>IF(MSASC&gt;0,'Look Ups'!$AI$6*(MSASC-RSAG),0)</f>
        <v>0</v>
      </c>
      <c r="DR206" s="280">
        <f>'Look Ups'!$AI$7*MAX(IF(MSAUSC&gt;0,EUSC/100*(MSAUSC-RSAG),0),IF(CR206="Yes",ELSC/100*(MSASC-RSAG),0))</f>
        <v>0</v>
      </c>
      <c r="DS206" s="280">
        <f t="shared" si="58"/>
        <v>11.02635594</v>
      </c>
      <c r="DT206" s="296">
        <f t="shared" si="59"/>
        <v>59.499557000000003</v>
      </c>
      <c r="DU206" s="14"/>
    </row>
    <row r="207" spans="1:125" ht="15.6" customHeight="1" x14ac:dyDescent="0.3">
      <c r="A207" s="4"/>
      <c r="B207" s="365"/>
      <c r="C207" s="369" t="s">
        <v>739</v>
      </c>
      <c r="D207" s="370" t="s">
        <v>740</v>
      </c>
      <c r="E207" s="371" t="s">
        <v>741</v>
      </c>
      <c r="F207" s="252">
        <f t="shared" ca="1" si="30"/>
        <v>0.77800000000000002</v>
      </c>
      <c r="G207" s="252" t="str">
        <f ca="1">IF(OR(FLSCR="ERROR",FLSPI="ERROR"),"No",IF(TODAY()-'Look Ups'!$D$4*365&gt;I207,"WP Applied","Yes"))</f>
        <v>WP Applied</v>
      </c>
      <c r="H207" s="253" t="str">
        <f t="shared" si="31"/>
        <v>Main-Genoa-Screacher (Upwind)-Spinnaker</v>
      </c>
      <c r="I207" s="1">
        <v>38790</v>
      </c>
      <c r="J207" s="1"/>
      <c r="K207" s="87" t="s">
        <v>742</v>
      </c>
      <c r="L207" s="87" t="s">
        <v>182</v>
      </c>
      <c r="M207" s="207"/>
      <c r="N207" s="88" t="s">
        <v>208</v>
      </c>
      <c r="O207" s="88"/>
      <c r="P207" s="89">
        <v>5.64</v>
      </c>
      <c r="Q207" s="90">
        <v>6.78</v>
      </c>
      <c r="R207" s="87"/>
      <c r="S207" s="256">
        <f t="shared" si="32"/>
        <v>0.16950000000000001</v>
      </c>
      <c r="T207" s="117">
        <v>0.1</v>
      </c>
      <c r="U207" s="117">
        <v>0</v>
      </c>
      <c r="V207" s="258">
        <f t="shared" si="33"/>
        <v>6.6800000000000006</v>
      </c>
      <c r="W207" s="259">
        <f>IF(RL&gt;0,IF(RL&gt;'Look Ups'!Y$7,'Look Ups'!Y$8,('Look Ups'!Y$3*RL^3+'Look Ups'!Y$4*RL^2+'Look Ups'!Y$5*RL+'Look Ups'!Y$6)),0)</f>
        <v>0.28812520185599999</v>
      </c>
      <c r="X207" s="92">
        <f>810-20</f>
        <v>790</v>
      </c>
      <c r="Y207" s="263">
        <f ca="1">IF(WDATE&lt;(TODAY()-'Look Ups'!$D$4*365),-WM*'Look Ups'!$D$5/100,0)</f>
        <v>-118.5</v>
      </c>
      <c r="Z207" s="103"/>
      <c r="AA207" s="109"/>
      <c r="AB207" s="109"/>
      <c r="AC207" s="265">
        <f>WCD+NC*'Look Ups'!$AF$3</f>
        <v>0</v>
      </c>
      <c r="AD207" s="265">
        <f ca="1">IF(RL&lt;'Look Ups'!AM$3,'Look Ups'!AM$4,IF(RL&gt;'Look Ups'!AM$5,'Look Ups'!AM$6,(RL-'Look Ups'!AM$3)/('Look Ups'!AM$5-'Look Ups'!AM$3)*('Look Ups'!AM$6-'Look Ups'!AM$4)+'Look Ups'!AM$4))/100*WS</f>
        <v>201.45</v>
      </c>
      <c r="AE207" s="269">
        <f t="shared" ca="1" si="34"/>
        <v>671.5</v>
      </c>
      <c r="AF207" s="267">
        <f t="shared" ca="1" si="35"/>
        <v>671.5</v>
      </c>
      <c r="AG207" s="94" t="s">
        <v>145</v>
      </c>
      <c r="AH207" s="95" t="s">
        <v>146</v>
      </c>
      <c r="AI207" s="96" t="s">
        <v>147</v>
      </c>
      <c r="AJ207" s="218"/>
      <c r="AK207" s="273">
        <f>IF(C207="",0,VLOOKUP(AG207,'Look Ups'!$F$3:$G$6,2,0)*VLOOKUP(AH207,'Look Ups'!$I$3:$J$5,2,0)*VLOOKUP(AI207,'Look Ups'!$L$3:$M$7,2,0)*IF(AJ207="",1,VLOOKUP(AJ207,'Look Ups'!$O$3:$P$4,2,0)))</f>
        <v>1</v>
      </c>
      <c r="AL207" s="83">
        <v>8.59</v>
      </c>
      <c r="AM207" s="91">
        <v>8.44</v>
      </c>
      <c r="AN207" s="91">
        <v>2.37</v>
      </c>
      <c r="AO207" s="91">
        <v>0.5</v>
      </c>
      <c r="AP207" s="91">
        <v>0.51</v>
      </c>
      <c r="AQ207" s="91">
        <v>8.33</v>
      </c>
      <c r="AR207" s="91">
        <v>0.06</v>
      </c>
      <c r="AS207" s="91">
        <v>2.4300000000000002</v>
      </c>
      <c r="AT207" s="91">
        <v>0.05</v>
      </c>
      <c r="AU207" s="91">
        <v>0.33</v>
      </c>
      <c r="AV207" s="91" t="s">
        <v>148</v>
      </c>
      <c r="AW207" s="97">
        <v>0</v>
      </c>
      <c r="AX207" s="256">
        <f t="shared" si="36"/>
        <v>8.3800000000000008</v>
      </c>
      <c r="AY207" s="256">
        <f t="shared" si="37"/>
        <v>1.0308375000000001</v>
      </c>
      <c r="AZ207" s="275">
        <f>IF(C207="",0,(0.5*(_ML1*LPM)+0.5*(_ML1*HB)+0.66*(P*PR)+0.66*(_ML2*RDM)+0.66*(E*ER))*VLOOKUP(BATT,'Look Ups'!$U$3:$V$4,2,0))</f>
        <v>15.577612</v>
      </c>
      <c r="BA207" s="98"/>
      <c r="BB207" s="99"/>
      <c r="BC207" s="83">
        <v>6.78</v>
      </c>
      <c r="BD207" s="91">
        <v>2.44</v>
      </c>
      <c r="BE207" s="91">
        <v>2.8</v>
      </c>
      <c r="BF207" s="91">
        <v>0.03</v>
      </c>
      <c r="BG207" s="91">
        <v>5.97</v>
      </c>
      <c r="BH207" s="91"/>
      <c r="BI207" s="91"/>
      <c r="BJ207" s="91">
        <v>-0.12</v>
      </c>
      <c r="BK207" s="91">
        <v>0</v>
      </c>
      <c r="BL207" s="97">
        <v>0</v>
      </c>
      <c r="BM207" s="275">
        <f t="shared" si="38"/>
        <v>7.8542160000000001</v>
      </c>
      <c r="BN207" s="319"/>
      <c r="BO207" s="320"/>
      <c r="BP207" s="321"/>
      <c r="BQ207" s="321"/>
      <c r="BR207" s="320"/>
      <c r="BS207" s="321"/>
      <c r="BT207" s="321"/>
      <c r="BU207" s="280">
        <f t="shared" si="39"/>
        <v>0</v>
      </c>
      <c r="BV207" s="322"/>
      <c r="BW207" s="320"/>
      <c r="BX207" s="320"/>
      <c r="BY207" s="320"/>
      <c r="BZ207" s="320"/>
      <c r="CA207" s="320"/>
      <c r="CB207" s="320"/>
      <c r="CC207" s="275">
        <f t="shared" si="40"/>
        <v>0</v>
      </c>
      <c r="CD207" s="98">
        <v>5.04</v>
      </c>
      <c r="CE207" s="91">
        <v>9.3000000000000007</v>
      </c>
      <c r="CF207" s="91">
        <v>7.5</v>
      </c>
      <c r="CG207" s="91">
        <v>4.28</v>
      </c>
      <c r="CH207" s="266">
        <f t="shared" si="41"/>
        <v>84.920634920634924</v>
      </c>
      <c r="CI207" s="320"/>
      <c r="CJ207" s="280">
        <f t="shared" si="42"/>
        <v>31.024000000000004</v>
      </c>
      <c r="CK207" s="83">
        <v>4.79</v>
      </c>
      <c r="CL207" s="91">
        <v>7.63</v>
      </c>
      <c r="CM207" s="91">
        <v>5.91</v>
      </c>
      <c r="CN207" s="91">
        <v>2.41</v>
      </c>
      <c r="CO207" s="256">
        <f t="shared" si="43"/>
        <v>50.313152400835072</v>
      </c>
      <c r="CP207" s="320"/>
      <c r="CQ207" s="256">
        <f t="shared" si="44"/>
        <v>16.281850000000002</v>
      </c>
      <c r="CR207" s="256" t="str">
        <f>IF(CO207&lt;'Look Ups'!$AC$4,"Yes","No")</f>
        <v>Yes</v>
      </c>
      <c r="CS207" s="293">
        <f>IF(CR207="Yes",MIN(150,('Look Ups'!$AC$4-PSCR)/('Look Ups'!$AC$4-'Look Ups'!$AC$3)*100),0)</f>
        <v>33.736951983298553</v>
      </c>
      <c r="CT207" s="83"/>
      <c r="CU207" s="91"/>
      <c r="CV207" s="91"/>
      <c r="CW207" s="91"/>
      <c r="CX207" s="256" t="str">
        <f t="shared" si="45"/>
        <v/>
      </c>
      <c r="CY207" s="293">
        <f>IF(PUSCR&lt;'Look Ups'!$AC$4,MIN(150,('Look Ups'!$AC$4-PUSCR)/('Look Ups'!$AC$4-'Look Ups'!$AC$3)*100),0)</f>
        <v>0</v>
      </c>
      <c r="CZ207" s="275">
        <f>IF(PUSCR&lt;'Look Ups'!$AC$4,USCRF*(USCRL1+USCRL2)/4+(USCRMG-USCRF/2)*(USCRL1+USCRL2)/3,0)</f>
        <v>0</v>
      </c>
      <c r="DA207" s="294">
        <f t="shared" si="46"/>
        <v>1</v>
      </c>
      <c r="DB207" s="256">
        <f t="shared" si="47"/>
        <v>16.608449499999999</v>
      </c>
      <c r="DC207" s="256">
        <f t="shared" si="48"/>
        <v>1</v>
      </c>
      <c r="DD207" s="256">
        <f t="shared" si="49"/>
        <v>7.8542160000000001</v>
      </c>
      <c r="DE207" s="256">
        <f>IF(AZ207&gt;0,'Look Ups'!$S$3,0)</f>
        <v>1</v>
      </c>
      <c r="DF207" s="256">
        <f t="shared" si="50"/>
        <v>0</v>
      </c>
      <c r="DG207" s="256">
        <f t="shared" si="51"/>
        <v>0</v>
      </c>
      <c r="DH207" s="256">
        <f t="shared" si="52"/>
        <v>0</v>
      </c>
      <c r="DI207" s="280">
        <f t="shared" si="53"/>
        <v>0</v>
      </c>
      <c r="DJ207" s="295" t="str">
        <f t="shared" si="54"/>
        <v>valid</v>
      </c>
      <c r="DK207" s="266" t="str">
        <f t="shared" si="55"/>
        <v>valid</v>
      </c>
      <c r="DL207" s="267" t="str">
        <f t="shared" si="56"/>
        <v>MGScrSP</v>
      </c>
      <c r="DM207" s="294">
        <f t="shared" si="57"/>
        <v>24.4626655</v>
      </c>
      <c r="DN207" s="256">
        <f>IF(MSASP&gt;0,'Look Ups'!$AI$4*(ZVAL*MSASP-RSAG),0)</f>
        <v>6.9509352000000009</v>
      </c>
      <c r="DO207" s="256">
        <f>IF(AND(MSASC&gt;0,(MSASC&gt;=0.36*RSAM)),('Look Ups'!$AI$3*(ZVAL*MSASC-RSAG)),(0))</f>
        <v>2.9496719000000002</v>
      </c>
      <c r="DP207" s="256">
        <f>IF(MSASP&gt;0,'Look Ups'!$AI$5*(ZVAL*MSASP-RSAG),0)</f>
        <v>6.4875395200000012</v>
      </c>
      <c r="DQ207" s="256">
        <f>IF(MSASC&gt;0,'Look Ups'!$AI$6*(MSASC-RSAG),0)</f>
        <v>0.58993438000000009</v>
      </c>
      <c r="DR207" s="280">
        <f>'Look Ups'!$AI$7*MAX(IF(MSAUSC&gt;0,EUSC/100*(MSAUSC-RSAG),0),IF(CR207="Yes",ELSC/100*(MSASC-RSAG),0))</f>
        <v>0.71080670897703591</v>
      </c>
      <c r="DS207" s="280">
        <f t="shared" si="58"/>
        <v>5.9790418199999991</v>
      </c>
      <c r="DT207" s="296">
        <f t="shared" si="59"/>
        <v>32.25094610897704</v>
      </c>
      <c r="DU207" s="14"/>
    </row>
    <row r="208" spans="1:125" ht="15.6" customHeight="1" x14ac:dyDescent="0.3">
      <c r="A208" s="4"/>
      <c r="B208" s="365"/>
      <c r="C208" s="369" t="s">
        <v>743</v>
      </c>
      <c r="D208" s="370" t="s">
        <v>744</v>
      </c>
      <c r="E208" s="371" t="s">
        <v>745</v>
      </c>
      <c r="F208" s="252">
        <f t="shared" ca="1" si="30"/>
        <v>0.66400000000000003</v>
      </c>
      <c r="G208" s="252" t="str">
        <f ca="1">IF(OR(FLSCR="ERROR",FLSPI="ERROR"),"No",IF(TODAY()-'Look Ups'!$D$4*365&gt;I208,"WP Applied","Yes"))</f>
        <v>WP Applied</v>
      </c>
      <c r="H208" s="253" t="str">
        <f t="shared" si="31"/>
        <v>Main-Genoa-Spinnaker</v>
      </c>
      <c r="I208" s="1">
        <v>37304</v>
      </c>
      <c r="J208" s="1"/>
      <c r="K208" s="87" t="s">
        <v>594</v>
      </c>
      <c r="L208" s="87" t="s">
        <v>589</v>
      </c>
      <c r="M208" s="207"/>
      <c r="N208" s="88" t="s">
        <v>165</v>
      </c>
      <c r="O208" s="88"/>
      <c r="P208" s="89">
        <v>6.4</v>
      </c>
      <c r="Q208" s="90">
        <v>10.95</v>
      </c>
      <c r="R208" s="87"/>
      <c r="S208" s="256">
        <f t="shared" si="32"/>
        <v>0.27374999999999999</v>
      </c>
      <c r="T208" s="117">
        <v>0.03</v>
      </c>
      <c r="U208" s="117">
        <v>0</v>
      </c>
      <c r="V208" s="258">
        <f t="shared" si="33"/>
        <v>10.92</v>
      </c>
      <c r="W208" s="259">
        <f>IF(RL&gt;0,IF(RL&gt;'Look Ups'!Y$7,'Look Ups'!Y$8,('Look Ups'!Y$3*RL^3+'Look Ups'!Y$4*RL^2+'Look Ups'!Y$5*RL+'Look Ups'!Y$6)),0)</f>
        <v>0.29946667270400001</v>
      </c>
      <c r="X208" s="92">
        <v>6760</v>
      </c>
      <c r="Y208" s="263">
        <f ca="1">IF(WDATE&lt;(TODAY()-'Look Ups'!$D$4*365),-WM*'Look Ups'!$D$5/100,0)</f>
        <v>-1014</v>
      </c>
      <c r="Z208" s="103"/>
      <c r="AA208" s="109"/>
      <c r="AB208" s="109"/>
      <c r="AC208" s="265">
        <f>WCD+NC*'Look Ups'!$AF$3</f>
        <v>0</v>
      </c>
      <c r="AD208" s="265">
        <f ca="1">IF(RL&lt;'Look Ups'!AM$3,'Look Ups'!AM$4,IF(RL&gt;'Look Ups'!AM$5,'Look Ups'!AM$6,(RL-'Look Ups'!AM$3)/('Look Ups'!AM$5-'Look Ups'!AM$3)*('Look Ups'!AM$6-'Look Ups'!AM$4)+'Look Ups'!AM$4))/100*WS</f>
        <v>842.05018181818173</v>
      </c>
      <c r="AE208" s="269">
        <f t="shared" ca="1" si="34"/>
        <v>5746</v>
      </c>
      <c r="AF208" s="267">
        <f t="shared" ca="1" si="35"/>
        <v>5746</v>
      </c>
      <c r="AG208" s="94" t="s">
        <v>603</v>
      </c>
      <c r="AH208" s="95" t="s">
        <v>146</v>
      </c>
      <c r="AI208" s="96" t="s">
        <v>177</v>
      </c>
      <c r="AJ208" s="218"/>
      <c r="AK208" s="273">
        <f>IF(C208="",0,VLOOKUP(AG208,'Look Ups'!$F$3:$G$6,2,0)*VLOOKUP(AH208,'Look Ups'!$I$3:$J$5,2,0)*VLOOKUP(AI208,'Look Ups'!$L$3:$M$7,2,0)*IF(AJ208="",1,VLOOKUP(AJ208,'Look Ups'!$O$3:$P$4,2,0)))</f>
        <v>0.97019999999999995</v>
      </c>
      <c r="AL208" s="83">
        <v>13.52</v>
      </c>
      <c r="AM208" s="91">
        <v>13.45</v>
      </c>
      <c r="AN208" s="91">
        <v>4.3600000000000003</v>
      </c>
      <c r="AO208" s="91">
        <v>0.16</v>
      </c>
      <c r="AP208" s="91">
        <v>1.07</v>
      </c>
      <c r="AQ208" s="91">
        <v>13.31</v>
      </c>
      <c r="AR208" s="91">
        <v>0.24</v>
      </c>
      <c r="AS208" s="91">
        <v>4.4800000000000004</v>
      </c>
      <c r="AT208" s="91">
        <v>-0.03</v>
      </c>
      <c r="AU208" s="91">
        <v>0</v>
      </c>
      <c r="AV208" s="91" t="s">
        <v>148</v>
      </c>
      <c r="AW208" s="97">
        <v>0</v>
      </c>
      <c r="AX208" s="256">
        <f t="shared" si="36"/>
        <v>13.280000000000001</v>
      </c>
      <c r="AY208" s="256">
        <f t="shared" si="37"/>
        <v>0</v>
      </c>
      <c r="AZ208" s="275">
        <f>IF(C208="",0,(0.5*(_ML1*LPM)+0.5*(_ML1*HB)+0.66*(P*PR)+0.66*(_ML2*RDM)+0.66*(E*ER))*VLOOKUP(BATT,'Look Ups'!$U$3:$V$4,2,0))</f>
        <v>42.073189999999997</v>
      </c>
      <c r="BA208" s="98"/>
      <c r="BB208" s="99"/>
      <c r="BC208" s="83">
        <v>13.36</v>
      </c>
      <c r="BD208" s="91">
        <v>4.78</v>
      </c>
      <c r="BE208" s="91">
        <v>6.2</v>
      </c>
      <c r="BF208" s="91">
        <v>0.15</v>
      </c>
      <c r="BG208" s="91">
        <v>10.86</v>
      </c>
      <c r="BH208" s="91"/>
      <c r="BI208" s="91"/>
      <c r="BJ208" s="91">
        <v>-0.19500000000000001</v>
      </c>
      <c r="BK208" s="91">
        <v>-0.06</v>
      </c>
      <c r="BL208" s="97"/>
      <c r="BM208" s="275">
        <f t="shared" si="38"/>
        <v>30.617462</v>
      </c>
      <c r="BN208" s="319"/>
      <c r="BO208" s="320"/>
      <c r="BP208" s="321"/>
      <c r="BQ208" s="321"/>
      <c r="BR208" s="320"/>
      <c r="BS208" s="321"/>
      <c r="BT208" s="321"/>
      <c r="BU208" s="280">
        <f t="shared" si="39"/>
        <v>0</v>
      </c>
      <c r="BV208" s="322"/>
      <c r="BW208" s="320"/>
      <c r="BX208" s="320"/>
      <c r="BY208" s="320"/>
      <c r="BZ208" s="320"/>
      <c r="CA208" s="320"/>
      <c r="CB208" s="320"/>
      <c r="CC208" s="275">
        <f t="shared" si="40"/>
        <v>0</v>
      </c>
      <c r="CD208" s="98">
        <v>7.76</v>
      </c>
      <c r="CE208" s="91">
        <v>12.46</v>
      </c>
      <c r="CF208" s="91">
        <v>14.13</v>
      </c>
      <c r="CG208" s="91">
        <v>7.28</v>
      </c>
      <c r="CH208" s="266">
        <f t="shared" si="41"/>
        <v>93.814432989690729</v>
      </c>
      <c r="CI208" s="320"/>
      <c r="CJ208" s="280">
        <f t="shared" si="42"/>
        <v>81.719933333333344</v>
      </c>
      <c r="CK208" s="83"/>
      <c r="CL208" s="91"/>
      <c r="CM208" s="91"/>
      <c r="CN208" s="91"/>
      <c r="CO208" s="256" t="str">
        <f t="shared" si="43"/>
        <v/>
      </c>
      <c r="CP208" s="320"/>
      <c r="CQ208" s="256">
        <f t="shared" si="44"/>
        <v>0</v>
      </c>
      <c r="CR208" s="256" t="str">
        <f>IF(CO208&lt;'Look Ups'!$AC$4,"Yes","No")</f>
        <v>No</v>
      </c>
      <c r="CS208" s="293">
        <f>IF(CR208="Yes",MIN(150,('Look Ups'!$AC$4-PSCR)/('Look Ups'!$AC$4-'Look Ups'!$AC$3)*100),0)</f>
        <v>0</v>
      </c>
      <c r="CT208" s="83"/>
      <c r="CU208" s="91"/>
      <c r="CV208" s="91"/>
      <c r="CW208" s="91"/>
      <c r="CX208" s="256" t="str">
        <f t="shared" si="45"/>
        <v/>
      </c>
      <c r="CY208" s="293">
        <f>IF(PUSCR&lt;'Look Ups'!$AC$4,MIN(150,('Look Ups'!$AC$4-PUSCR)/('Look Ups'!$AC$4-'Look Ups'!$AC$3)*100),0)</f>
        <v>0</v>
      </c>
      <c r="CZ208" s="275">
        <f>IF(PUSCR&lt;'Look Ups'!$AC$4,USCRF*(USCRL1+USCRL2)/4+(USCRMG-USCRF/2)*(USCRL1+USCRL2)/3,0)</f>
        <v>0</v>
      </c>
      <c r="DA208" s="294">
        <f t="shared" si="46"/>
        <v>1</v>
      </c>
      <c r="DB208" s="256">
        <f t="shared" si="47"/>
        <v>42.073189999999997</v>
      </c>
      <c r="DC208" s="256">
        <f t="shared" si="48"/>
        <v>1</v>
      </c>
      <c r="DD208" s="256">
        <f t="shared" si="49"/>
        <v>30.617462</v>
      </c>
      <c r="DE208" s="256">
        <f>IF(AZ208&gt;0,'Look Ups'!$S$3,0)</f>
        <v>1</v>
      </c>
      <c r="DF208" s="256">
        <f t="shared" si="50"/>
        <v>0</v>
      </c>
      <c r="DG208" s="256">
        <f t="shared" si="51"/>
        <v>0</v>
      </c>
      <c r="DH208" s="256">
        <f t="shared" si="52"/>
        <v>0</v>
      </c>
      <c r="DI208" s="280">
        <f t="shared" si="53"/>
        <v>0</v>
      </c>
      <c r="DJ208" s="295" t="str">
        <f t="shared" si="54"/>
        <v>-</v>
      </c>
      <c r="DK208" s="266" t="str">
        <f t="shared" si="55"/>
        <v>valid</v>
      </c>
      <c r="DL208" s="267" t="str">
        <f t="shared" si="56"/>
        <v>MGSP</v>
      </c>
      <c r="DM208" s="294">
        <f t="shared" si="57"/>
        <v>72.690652</v>
      </c>
      <c r="DN208" s="256">
        <f>IF(MSASP&gt;0,'Look Ups'!$AI$4*(ZVAL*MSASP-RSAG),0)</f>
        <v>15.330741400000001</v>
      </c>
      <c r="DO208" s="256">
        <f>IF(AND(MSASC&gt;0,(MSASC&gt;=0.36*RSAM)),('Look Ups'!$AI$3*(ZVAL*MSASC-RSAG)),(0))</f>
        <v>0</v>
      </c>
      <c r="DP208" s="256">
        <f>IF(MSASP&gt;0,'Look Ups'!$AI$5*(ZVAL*MSASP-RSAG),0)</f>
        <v>14.308691973333337</v>
      </c>
      <c r="DQ208" s="256">
        <f>IF(MSASC&gt;0,'Look Ups'!$AI$6*(MSASC-RSAG),0)</f>
        <v>0</v>
      </c>
      <c r="DR208" s="280">
        <f>'Look Ups'!$AI$7*MAX(IF(MSAUSC&gt;0,EUSC/100*(MSAUSC-RSAG),0),IF(CR208="Yes",ELSC/100*(MSASC-RSAG),0))</f>
        <v>0</v>
      </c>
      <c r="DS208" s="280">
        <f t="shared" si="58"/>
        <v>15.146348399999999</v>
      </c>
      <c r="DT208" s="296">
        <f t="shared" si="59"/>
        <v>88.021393399999994</v>
      </c>
      <c r="DU208" s="14"/>
    </row>
    <row r="209" spans="1:125" ht="15.6" customHeight="1" x14ac:dyDescent="0.3">
      <c r="A209" s="4"/>
      <c r="B209" s="365"/>
      <c r="C209" s="369" t="s">
        <v>746</v>
      </c>
      <c r="D209" s="370" t="s">
        <v>709</v>
      </c>
      <c r="E209" s="371" t="s">
        <v>747</v>
      </c>
      <c r="F209" s="252">
        <f t="shared" ca="1" si="30"/>
        <v>0.878</v>
      </c>
      <c r="G209" s="252" t="str">
        <f ca="1">IF(OR(FLSCR="ERROR",FLSPI="ERROR"),"No",IF(TODAY()-'Look Ups'!$D$4*365&gt;I209,"WP Applied","Yes"))</f>
        <v>WP Applied</v>
      </c>
      <c r="H209" s="253" t="str">
        <f t="shared" si="31"/>
        <v>Main-Genoa-Screacher-Spinnaker</v>
      </c>
      <c r="I209" s="1">
        <v>40254</v>
      </c>
      <c r="J209" s="1">
        <v>40262</v>
      </c>
      <c r="K209" s="87" t="s">
        <v>218</v>
      </c>
      <c r="L209" s="87" t="s">
        <v>241</v>
      </c>
      <c r="M209" s="207"/>
      <c r="N209" s="88" t="s">
        <v>208</v>
      </c>
      <c r="O209" s="88"/>
      <c r="P209" s="89"/>
      <c r="Q209" s="90">
        <v>9.19</v>
      </c>
      <c r="R209" s="87"/>
      <c r="S209" s="256">
        <f t="shared" si="32"/>
        <v>0.22975000000000001</v>
      </c>
      <c r="T209" s="117">
        <v>0.43</v>
      </c>
      <c r="U209" s="117">
        <v>0</v>
      </c>
      <c r="V209" s="258">
        <f t="shared" si="33"/>
        <v>8.76</v>
      </c>
      <c r="W209" s="259">
        <f>IF(RL&gt;0,IF(RL&gt;'Look Ups'!Y$7,'Look Ups'!Y$8,('Look Ups'!Y$3*RL^3+'Look Ups'!Y$4*RL^2+'Look Ups'!Y$5*RL+'Look Ups'!Y$6)),0)</f>
        <v>0.29607066540800003</v>
      </c>
      <c r="X209" s="92">
        <f>2420+25</f>
        <v>2445</v>
      </c>
      <c r="Y209" s="263">
        <f ca="1">IF(WDATE&lt;(TODAY()-'Look Ups'!$D$4*365),-WM*'Look Ups'!$D$5/100,0)</f>
        <v>-366.75</v>
      </c>
      <c r="Z209" s="103"/>
      <c r="AA209" s="109"/>
      <c r="AB209" s="109"/>
      <c r="AC209" s="265">
        <f>WCD+NC*'Look Ups'!$AF$3</f>
        <v>0</v>
      </c>
      <c r="AD209" s="265">
        <f ca="1">IF(RL&lt;'Look Ups'!AM$3,'Look Ups'!AM$4,IF(RL&gt;'Look Ups'!AM$5,'Look Ups'!AM$6,(RL-'Look Ups'!AM$3)/('Look Ups'!AM$5-'Look Ups'!AM$3)*('Look Ups'!AM$6-'Look Ups'!AM$4)+'Look Ups'!AM$4))/100*WS</f>
        <v>467.79518181818185</v>
      </c>
      <c r="AE209" s="269">
        <f t="shared" ca="1" si="34"/>
        <v>2078.25</v>
      </c>
      <c r="AF209" s="267">
        <f t="shared" ca="1" si="35"/>
        <v>2078.25</v>
      </c>
      <c r="AG209" s="94" t="s">
        <v>145</v>
      </c>
      <c r="AH209" s="95" t="s">
        <v>146</v>
      </c>
      <c r="AI209" s="96" t="s">
        <v>147</v>
      </c>
      <c r="AJ209" s="218"/>
      <c r="AK209" s="273">
        <f>IF(C209="",0,VLOOKUP(AG209,'Look Ups'!$F$3:$G$6,2,0)*VLOOKUP(AH209,'Look Ups'!$I$3:$J$5,2,0)*VLOOKUP(AI209,'Look Ups'!$L$3:$M$7,2,0)*IF(AJ209="",1,VLOOKUP(AJ209,'Look Ups'!$O$3:$P$4,2,0)))</f>
        <v>1</v>
      </c>
      <c r="AL209" s="83">
        <v>14.6</v>
      </c>
      <c r="AM209" s="91">
        <v>13.84</v>
      </c>
      <c r="AN209" s="91">
        <v>3.76</v>
      </c>
      <c r="AO209" s="91">
        <v>1.04</v>
      </c>
      <c r="AP209" s="91">
        <v>0.74</v>
      </c>
      <c r="AQ209" s="91">
        <v>13.38</v>
      </c>
      <c r="AR209" s="91">
        <v>0</v>
      </c>
      <c r="AS209" s="91">
        <v>3.96</v>
      </c>
      <c r="AT209" s="91">
        <v>0.13</v>
      </c>
      <c r="AU209" s="91">
        <v>0</v>
      </c>
      <c r="AV209" s="91" t="s">
        <v>148</v>
      </c>
      <c r="AW209" s="97"/>
      <c r="AX209" s="256">
        <f t="shared" si="36"/>
        <v>13.510000000000002</v>
      </c>
      <c r="AY209" s="256">
        <f t="shared" si="37"/>
        <v>0</v>
      </c>
      <c r="AZ209" s="275">
        <f>IF(C209="",0,(0.5*(_ML1*LPM)+0.5*(_ML1*HB)+0.66*(P*PR)+0.66*(_ML2*RDM)+0.66*(E*ER))*VLOOKUP(BATT,'Look Ups'!$U$3:$V$4,2,0))</f>
        <v>42.139223999999999</v>
      </c>
      <c r="BA209" s="98"/>
      <c r="BB209" s="99"/>
      <c r="BC209" s="83">
        <v>12.86</v>
      </c>
      <c r="BD209" s="91">
        <v>4.03</v>
      </c>
      <c r="BE209" s="91">
        <v>4.2</v>
      </c>
      <c r="BF209" s="91">
        <v>0.19</v>
      </c>
      <c r="BG209" s="91">
        <v>12.15</v>
      </c>
      <c r="BH209" s="91"/>
      <c r="BI209" s="91"/>
      <c r="BJ209" s="91">
        <v>-0.09</v>
      </c>
      <c r="BK209" s="91">
        <v>0</v>
      </c>
      <c r="BL209" s="97"/>
      <c r="BM209" s="275">
        <f t="shared" si="38"/>
        <v>25.717869999999998</v>
      </c>
      <c r="BN209" s="319"/>
      <c r="BO209" s="320"/>
      <c r="BP209" s="321"/>
      <c r="BQ209" s="321"/>
      <c r="BR209" s="320"/>
      <c r="BS209" s="321"/>
      <c r="BT209" s="321"/>
      <c r="BU209" s="280">
        <f t="shared" si="39"/>
        <v>0</v>
      </c>
      <c r="BV209" s="322"/>
      <c r="BW209" s="320"/>
      <c r="BX209" s="320"/>
      <c r="BY209" s="320"/>
      <c r="BZ209" s="320"/>
      <c r="CA209" s="320"/>
      <c r="CB209" s="320"/>
      <c r="CC209" s="275">
        <f t="shared" si="40"/>
        <v>0</v>
      </c>
      <c r="CD209" s="98">
        <v>7.85</v>
      </c>
      <c r="CE209" s="91">
        <v>14.4</v>
      </c>
      <c r="CF209" s="91">
        <v>12.32</v>
      </c>
      <c r="CG209" s="91">
        <v>7.45</v>
      </c>
      <c r="CH209" s="266">
        <f t="shared" si="41"/>
        <v>94.904458598726109</v>
      </c>
      <c r="CI209" s="320"/>
      <c r="CJ209" s="280">
        <f t="shared" si="42"/>
        <v>83.834000000000003</v>
      </c>
      <c r="CK209" s="83">
        <v>7.75</v>
      </c>
      <c r="CL209" s="91">
        <v>13.66</v>
      </c>
      <c r="CM209" s="91">
        <v>12.11</v>
      </c>
      <c r="CN209" s="91">
        <v>4.4000000000000004</v>
      </c>
      <c r="CO209" s="256">
        <f t="shared" si="43"/>
        <v>56.774193548387096</v>
      </c>
      <c r="CP209" s="320"/>
      <c r="CQ209" s="256">
        <f t="shared" si="44"/>
        <v>54.439125000000004</v>
      </c>
      <c r="CR209" s="256" t="str">
        <f>IF(CO209&lt;'Look Ups'!$AC$4,"Yes","No")</f>
        <v>No</v>
      </c>
      <c r="CS209" s="293">
        <f>IF(CR209="Yes",MIN(150,('Look Ups'!$AC$4-PSCR)/('Look Ups'!$AC$4-'Look Ups'!$AC$3)*100),0)</f>
        <v>0</v>
      </c>
      <c r="CT209" s="83"/>
      <c r="CU209" s="91"/>
      <c r="CV209" s="91"/>
      <c r="CW209" s="91"/>
      <c r="CX209" s="256" t="str">
        <f t="shared" si="45"/>
        <v/>
      </c>
      <c r="CY209" s="293">
        <f>IF(PUSCR&lt;'Look Ups'!$AC$4,MIN(150,('Look Ups'!$AC$4-PUSCR)/('Look Ups'!$AC$4-'Look Ups'!$AC$3)*100),0)</f>
        <v>0</v>
      </c>
      <c r="CZ209" s="275">
        <f>IF(PUSCR&lt;'Look Ups'!$AC$4,USCRF*(USCRL1+USCRL2)/4+(USCRMG-USCRF/2)*(USCRL1+USCRL2)/3,0)</f>
        <v>0</v>
      </c>
      <c r="DA209" s="294">
        <f t="shared" si="46"/>
        <v>1</v>
      </c>
      <c r="DB209" s="256">
        <f t="shared" si="47"/>
        <v>42.139223999999999</v>
      </c>
      <c r="DC209" s="256">
        <f t="shared" si="48"/>
        <v>1</v>
      </c>
      <c r="DD209" s="256">
        <f t="shared" si="49"/>
        <v>25.717869999999998</v>
      </c>
      <c r="DE209" s="256">
        <f>IF(AZ209&gt;0,'Look Ups'!$S$3,0)</f>
        <v>1</v>
      </c>
      <c r="DF209" s="256">
        <f t="shared" si="50"/>
        <v>0</v>
      </c>
      <c r="DG209" s="256">
        <f t="shared" si="51"/>
        <v>0</v>
      </c>
      <c r="DH209" s="256">
        <f t="shared" si="52"/>
        <v>0</v>
      </c>
      <c r="DI209" s="280">
        <f t="shared" si="53"/>
        <v>0</v>
      </c>
      <c r="DJ209" s="295" t="str">
        <f t="shared" si="54"/>
        <v>valid</v>
      </c>
      <c r="DK209" s="266" t="str">
        <f t="shared" si="55"/>
        <v>valid</v>
      </c>
      <c r="DL209" s="267" t="str">
        <f t="shared" si="56"/>
        <v>MGScrSP</v>
      </c>
      <c r="DM209" s="294">
        <f t="shared" si="57"/>
        <v>67.857093999999989</v>
      </c>
      <c r="DN209" s="256">
        <f>IF(MSASP&gt;0,'Look Ups'!$AI$4*(ZVAL*MSASP-RSAG),0)</f>
        <v>17.434839</v>
      </c>
      <c r="DO209" s="256">
        <f>IF(AND(MSASC&gt;0,(MSASC&gt;=0.36*RSAM)),('Look Ups'!$AI$3*(ZVAL*MSASC-RSAG)),(0))</f>
        <v>10.052439250000001</v>
      </c>
      <c r="DP209" s="256">
        <f>IF(MSASP&gt;0,'Look Ups'!$AI$5*(ZVAL*MSASP-RSAG),0)</f>
        <v>16.272516400000004</v>
      </c>
      <c r="DQ209" s="256">
        <f>IF(MSASC&gt;0,'Look Ups'!$AI$6*(MSASC-RSAG),0)</f>
        <v>2.0104878500000005</v>
      </c>
      <c r="DR209" s="280">
        <f>'Look Ups'!$AI$7*MAX(IF(MSAUSC&gt;0,EUSC/100*(MSAUSC-RSAG),0),IF(CR209="Yes",ELSC/100*(MSASC-RSAG),0))</f>
        <v>0</v>
      </c>
      <c r="DS209" s="280">
        <f t="shared" si="58"/>
        <v>15.170120639999999</v>
      </c>
      <c r="DT209" s="296">
        <f t="shared" si="59"/>
        <v>86.140098249999994</v>
      </c>
      <c r="DU209" s="14"/>
    </row>
    <row r="210" spans="1:125" ht="15.6" customHeight="1" x14ac:dyDescent="0.3">
      <c r="A210" s="4"/>
      <c r="B210" s="365"/>
      <c r="C210" s="369" t="s">
        <v>748</v>
      </c>
      <c r="D210" s="370" t="s">
        <v>749</v>
      </c>
      <c r="E210" s="371" t="s">
        <v>750</v>
      </c>
      <c r="F210" s="252">
        <f t="shared" ca="1" si="30"/>
        <v>0.97799999999999998</v>
      </c>
      <c r="G210" s="252" t="str">
        <f ca="1">IF(OR(FLSCR="ERROR",FLSPI="ERROR"),"No",IF(TODAY()-'Look Ups'!$D$4*365&gt;I210,"WP Applied","Yes"))</f>
        <v>WP Applied</v>
      </c>
      <c r="H210" s="253" t="str">
        <f t="shared" si="31"/>
        <v>Main-Genoa-Spinnaker</v>
      </c>
      <c r="I210" s="1">
        <v>41961</v>
      </c>
      <c r="J210" s="1">
        <v>41961</v>
      </c>
      <c r="K210" s="87" t="s">
        <v>451</v>
      </c>
      <c r="L210" s="87" t="s">
        <v>159</v>
      </c>
      <c r="M210" s="207"/>
      <c r="N210" s="88" t="s">
        <v>143</v>
      </c>
      <c r="O210" s="88" t="s">
        <v>154</v>
      </c>
      <c r="P210" s="89"/>
      <c r="Q210" s="90">
        <v>7.07</v>
      </c>
      <c r="R210" s="87"/>
      <c r="S210" s="256">
        <f t="shared" si="32"/>
        <v>0.17675000000000002</v>
      </c>
      <c r="T210" s="117">
        <v>0.11</v>
      </c>
      <c r="U210" s="117">
        <v>0.1</v>
      </c>
      <c r="V210" s="258">
        <f t="shared" si="33"/>
        <v>6.86</v>
      </c>
      <c r="W210" s="259">
        <f>IF(RL&gt;0,IF(RL&gt;'Look Ups'!Y$7,'Look Ups'!Y$8,('Look Ups'!Y$3*RL^3+'Look Ups'!Y$4*RL^2+'Look Ups'!Y$5*RL+'Look Ups'!Y$6)),0)</f>
        <v>0.28903991224800002</v>
      </c>
      <c r="X210" s="92">
        <v>710</v>
      </c>
      <c r="Y210" s="263">
        <f ca="1">IF(WDATE&lt;(TODAY()-'Look Ups'!$D$4*365),-WM*'Look Ups'!$D$5/100,0)</f>
        <v>-106.5</v>
      </c>
      <c r="Z210" s="103"/>
      <c r="AA210" s="109"/>
      <c r="AB210" s="109"/>
      <c r="AC210" s="265">
        <f>WCD+NC*'Look Ups'!$AF$3</f>
        <v>0</v>
      </c>
      <c r="AD210" s="265">
        <f ca="1">IF(RL&lt;'Look Ups'!AM$3,'Look Ups'!AM$4,IF(RL&gt;'Look Ups'!AM$5,'Look Ups'!AM$6,(RL-'Look Ups'!AM$3)/('Look Ups'!AM$5-'Look Ups'!AM$3)*('Look Ups'!AM$6-'Look Ups'!AM$4)+'Look Ups'!AM$4))/100*WS</f>
        <v>177.53872727272724</v>
      </c>
      <c r="AE210" s="269">
        <f t="shared" ca="1" si="34"/>
        <v>603.5</v>
      </c>
      <c r="AF210" s="267">
        <f t="shared" ca="1" si="35"/>
        <v>603.5</v>
      </c>
      <c r="AG210" s="94" t="s">
        <v>145</v>
      </c>
      <c r="AH210" s="95" t="s">
        <v>146</v>
      </c>
      <c r="AI210" s="96" t="s">
        <v>147</v>
      </c>
      <c r="AJ210" s="218"/>
      <c r="AK210" s="273">
        <f>IF(C210="",0,VLOOKUP(AG210,'Look Ups'!$F$3:$G$6,2,0)*VLOOKUP(AH210,'Look Ups'!$I$3:$J$5,2,0)*VLOOKUP(AI210,'Look Ups'!$L$3:$M$7,2,0)*IF(AJ210="",1,VLOOKUP(AJ210,'Look Ups'!$O$3:$P$4,2,0)))</f>
        <v>1</v>
      </c>
      <c r="AL210" s="83">
        <v>10.31</v>
      </c>
      <c r="AM210" s="91">
        <v>10.130000000000001</v>
      </c>
      <c r="AN210" s="91">
        <v>2.81</v>
      </c>
      <c r="AO210" s="91">
        <v>0.76</v>
      </c>
      <c r="AP210" s="91">
        <v>0.74</v>
      </c>
      <c r="AQ210" s="91">
        <v>10.11</v>
      </c>
      <c r="AR210" s="91">
        <v>9.5000000000000001E-2</v>
      </c>
      <c r="AS210" s="91">
        <v>2.88</v>
      </c>
      <c r="AT210" s="91">
        <v>0</v>
      </c>
      <c r="AU210" s="91">
        <v>0.57500000000000007</v>
      </c>
      <c r="AV210" s="91" t="s">
        <v>148</v>
      </c>
      <c r="AW210" s="97" t="s">
        <v>751</v>
      </c>
      <c r="AX210" s="256">
        <f t="shared" si="36"/>
        <v>10.11</v>
      </c>
      <c r="AY210" s="256">
        <f t="shared" si="37"/>
        <v>2.17996875</v>
      </c>
      <c r="AZ210" s="275">
        <f>IF(C210="",0,(0.5*(_ML1*LPM)+0.5*(_ML1*HB)+0.66*(P*PR)+0.66*(_ML2*RDM)+0.66*(E*ER))*VLOOKUP(BATT,'Look Ups'!$U$3:$V$4,2,0))</f>
        <v>23.984739000000005</v>
      </c>
      <c r="BA210" s="98"/>
      <c r="BB210" s="99"/>
      <c r="BC210" s="83">
        <v>9.18</v>
      </c>
      <c r="BD210" s="91">
        <v>2.52</v>
      </c>
      <c r="BE210" s="91">
        <v>2.91</v>
      </c>
      <c r="BF210" s="91">
        <v>9.5000000000000001E-2</v>
      </c>
      <c r="BG210" s="91">
        <v>8.14</v>
      </c>
      <c r="BH210" s="91"/>
      <c r="BI210" s="91"/>
      <c r="BJ210" s="91">
        <v>0</v>
      </c>
      <c r="BK210" s="91">
        <v>0.32</v>
      </c>
      <c r="BL210" s="97" t="s">
        <v>213</v>
      </c>
      <c r="BM210" s="275">
        <f t="shared" si="38"/>
        <v>13.688072999999997</v>
      </c>
      <c r="BN210" s="319"/>
      <c r="BO210" s="320"/>
      <c r="BP210" s="321"/>
      <c r="BQ210" s="321"/>
      <c r="BR210" s="320"/>
      <c r="BS210" s="321"/>
      <c r="BT210" s="321"/>
      <c r="BU210" s="280">
        <f t="shared" si="39"/>
        <v>0</v>
      </c>
      <c r="BV210" s="322"/>
      <c r="BW210" s="320"/>
      <c r="BX210" s="320"/>
      <c r="BY210" s="320"/>
      <c r="BZ210" s="320"/>
      <c r="CA210" s="320"/>
      <c r="CB210" s="320"/>
      <c r="CC210" s="275">
        <f t="shared" si="40"/>
        <v>0</v>
      </c>
      <c r="CD210" s="98">
        <v>6.47</v>
      </c>
      <c r="CE210" s="91">
        <v>11.94</v>
      </c>
      <c r="CF210" s="91">
        <v>10.25</v>
      </c>
      <c r="CG210" s="91">
        <v>5.36</v>
      </c>
      <c r="CH210" s="266">
        <f t="shared" si="41"/>
        <v>82.843894899536323</v>
      </c>
      <c r="CI210" s="320"/>
      <c r="CJ210" s="280">
        <f t="shared" si="42"/>
        <v>51.61024166666666</v>
      </c>
      <c r="CK210" s="83"/>
      <c r="CL210" s="91"/>
      <c r="CM210" s="91"/>
      <c r="CN210" s="91"/>
      <c r="CO210" s="256" t="str">
        <f t="shared" si="43"/>
        <v/>
      </c>
      <c r="CP210" s="320"/>
      <c r="CQ210" s="256">
        <f t="shared" si="44"/>
        <v>0</v>
      </c>
      <c r="CR210" s="256" t="str">
        <f>IF(CO210&lt;'Look Ups'!$AC$4,"Yes","No")</f>
        <v>No</v>
      </c>
      <c r="CS210" s="293">
        <f>IF(CR210="Yes",MIN(150,('Look Ups'!$AC$4-PSCR)/('Look Ups'!$AC$4-'Look Ups'!$AC$3)*100),0)</f>
        <v>0</v>
      </c>
      <c r="CT210" s="83"/>
      <c r="CU210" s="91"/>
      <c r="CV210" s="91"/>
      <c r="CW210" s="91"/>
      <c r="CX210" s="256" t="str">
        <f t="shared" si="45"/>
        <v/>
      </c>
      <c r="CY210" s="293">
        <f>IF(PUSCR&lt;'Look Ups'!$AC$4,MIN(150,('Look Ups'!$AC$4-PUSCR)/('Look Ups'!$AC$4-'Look Ups'!$AC$3)*100),0)</f>
        <v>0</v>
      </c>
      <c r="CZ210" s="275">
        <f>IF(PUSCR&lt;'Look Ups'!$AC$4,USCRF*(USCRL1+USCRL2)/4+(USCRMG-USCRF/2)*(USCRL1+USCRL2)/3,0)</f>
        <v>0</v>
      </c>
      <c r="DA210" s="294">
        <f t="shared" si="46"/>
        <v>1</v>
      </c>
      <c r="DB210" s="256">
        <f t="shared" si="47"/>
        <v>26.164707750000005</v>
      </c>
      <c r="DC210" s="256">
        <f t="shared" si="48"/>
        <v>1</v>
      </c>
      <c r="DD210" s="256">
        <f t="shared" si="49"/>
        <v>13.688072999999997</v>
      </c>
      <c r="DE210" s="256">
        <f>IF(AZ210&gt;0,'Look Ups'!$S$3,0)</f>
        <v>1</v>
      </c>
      <c r="DF210" s="256">
        <f t="shared" si="50"/>
        <v>0</v>
      </c>
      <c r="DG210" s="256">
        <f t="shared" si="51"/>
        <v>0</v>
      </c>
      <c r="DH210" s="256">
        <f t="shared" si="52"/>
        <v>0</v>
      </c>
      <c r="DI210" s="280">
        <f t="shared" si="53"/>
        <v>0</v>
      </c>
      <c r="DJ210" s="295" t="str">
        <f t="shared" si="54"/>
        <v>-</v>
      </c>
      <c r="DK210" s="266" t="str">
        <f t="shared" si="55"/>
        <v>valid</v>
      </c>
      <c r="DL210" s="267" t="str">
        <f t="shared" si="56"/>
        <v>MGSP</v>
      </c>
      <c r="DM210" s="294">
        <f t="shared" si="57"/>
        <v>39.852780750000001</v>
      </c>
      <c r="DN210" s="256">
        <f>IF(MSASP&gt;0,'Look Ups'!$AI$4*(ZVAL*MSASP-RSAG),0)</f>
        <v>11.3766506</v>
      </c>
      <c r="DO210" s="256">
        <f>IF(AND(MSASC&gt;0,(MSASC&gt;=0.36*RSAM)),('Look Ups'!$AI$3*(ZVAL*MSASC-RSAG)),(0))</f>
        <v>0</v>
      </c>
      <c r="DP210" s="256">
        <f>IF(MSASP&gt;0,'Look Ups'!$AI$5*(ZVAL*MSASP-RSAG),0)</f>
        <v>10.618207226666668</v>
      </c>
      <c r="DQ210" s="256">
        <f>IF(MSASC&gt;0,'Look Ups'!$AI$6*(MSASC-RSAG),0)</f>
        <v>0</v>
      </c>
      <c r="DR210" s="280">
        <f>'Look Ups'!$AI$7*MAX(IF(MSAUSC&gt;0,EUSC/100*(MSAUSC-RSAG),0),IF(CR210="Yes",ELSC/100*(MSASC-RSAG),0))</f>
        <v>0</v>
      </c>
      <c r="DS210" s="280">
        <f t="shared" si="58"/>
        <v>9.4192947900000021</v>
      </c>
      <c r="DT210" s="296">
        <f t="shared" si="59"/>
        <v>51.229431349999999</v>
      </c>
      <c r="DU210" s="14"/>
    </row>
    <row r="211" spans="1:125" ht="15.6" customHeight="1" x14ac:dyDescent="0.3">
      <c r="A211" s="4"/>
      <c r="B211" s="365"/>
      <c r="C211" s="369" t="s">
        <v>752</v>
      </c>
      <c r="D211" s="370" t="s">
        <v>753</v>
      </c>
      <c r="E211" s="371" t="s">
        <v>754</v>
      </c>
      <c r="F211" s="252">
        <f t="shared" ca="1" si="30"/>
        <v>1.0549999999999999</v>
      </c>
      <c r="G211" s="252" t="str">
        <f ca="1">IF(OR(FLSCR="ERROR",FLSPI="ERROR"),"No",IF(TODAY()-'Look Ups'!$D$4*365&gt;I211,"WP Applied","Yes"))</f>
        <v>WP Applied</v>
      </c>
      <c r="H211" s="253" t="str">
        <f t="shared" si="31"/>
        <v>Main-Genoa-Screacher-Second Main</v>
      </c>
      <c r="I211" s="1">
        <v>39837</v>
      </c>
      <c r="J211" s="1"/>
      <c r="K211" s="87" t="s">
        <v>755</v>
      </c>
      <c r="L211" s="87" t="s">
        <v>755</v>
      </c>
      <c r="M211" s="207"/>
      <c r="N211" s="88" t="s">
        <v>165</v>
      </c>
      <c r="O211" s="88"/>
      <c r="P211" s="89">
        <v>7</v>
      </c>
      <c r="Q211" s="90">
        <v>8.5</v>
      </c>
      <c r="R211" s="87"/>
      <c r="S211" s="256">
        <f t="shared" si="32"/>
        <v>0.21250000000000002</v>
      </c>
      <c r="T211" s="117">
        <v>0</v>
      </c>
      <c r="U211" s="117">
        <v>0</v>
      </c>
      <c r="V211" s="258">
        <f t="shared" si="33"/>
        <v>8.5</v>
      </c>
      <c r="W211" s="259">
        <f>IF(RL&gt;0,IF(RL&gt;'Look Ups'!Y$7,'Look Ups'!Y$8,('Look Ups'!Y$3*RL^3+'Look Ups'!Y$4*RL^2+'Look Ups'!Y$5*RL+'Look Ups'!Y$6)),0)</f>
        <v>0.29536612500000003</v>
      </c>
      <c r="X211" s="92">
        <v>1047</v>
      </c>
      <c r="Y211" s="263">
        <f ca="1">IF(WDATE&lt;(TODAY()-'Look Ups'!$D$4*365),-WM*'Look Ups'!$D$5/100,0)</f>
        <v>-157.05000000000001</v>
      </c>
      <c r="Z211" s="103"/>
      <c r="AA211" s="109"/>
      <c r="AB211" s="109"/>
      <c r="AC211" s="265">
        <f>WCD+NC*'Look Ups'!$AF$3</f>
        <v>0</v>
      </c>
      <c r="AD211" s="265">
        <f ca="1">IF(RL&lt;'Look Ups'!AM$3,'Look Ups'!AM$4,IF(RL&gt;'Look Ups'!AM$5,'Look Ups'!AM$6,(RL-'Look Ups'!AM$3)/('Look Ups'!AM$5-'Look Ups'!AM$3)*('Look Ups'!AM$6-'Look Ups'!AM$4)+'Look Ups'!AM$4))/100*WS</f>
        <v>208.73372727272726</v>
      </c>
      <c r="AE211" s="269">
        <f t="shared" ca="1" si="34"/>
        <v>889.95</v>
      </c>
      <c r="AF211" s="267">
        <f t="shared" ca="1" si="35"/>
        <v>889.95</v>
      </c>
      <c r="AG211" s="94" t="s">
        <v>145</v>
      </c>
      <c r="AH211" s="95" t="s">
        <v>146</v>
      </c>
      <c r="AI211" s="96" t="s">
        <v>147</v>
      </c>
      <c r="AJ211" s="218"/>
      <c r="AK211" s="273">
        <f>IF(C211="",0,VLOOKUP(AG211,'Look Ups'!$F$3:$G$6,2,0)*VLOOKUP(AH211,'Look Ups'!$I$3:$J$5,2,0)*VLOOKUP(AI211,'Look Ups'!$L$3:$M$7,2,0)*IF(AJ211="",1,VLOOKUP(AJ211,'Look Ups'!$O$3:$P$4,2,0)))</f>
        <v>1</v>
      </c>
      <c r="AL211" s="83">
        <v>10.37</v>
      </c>
      <c r="AM211" s="91">
        <v>10.17</v>
      </c>
      <c r="AN211" s="91">
        <v>2.4300000000000002</v>
      </c>
      <c r="AO211" s="91">
        <v>1.96</v>
      </c>
      <c r="AP211" s="91">
        <v>0.16</v>
      </c>
      <c r="AQ211" s="91">
        <v>10.23</v>
      </c>
      <c r="AR211" s="91">
        <v>0.08</v>
      </c>
      <c r="AS211" s="91">
        <v>2.4900000000000002</v>
      </c>
      <c r="AT211" s="91">
        <v>0</v>
      </c>
      <c r="AU211" s="91">
        <v>0.66</v>
      </c>
      <c r="AV211" s="91" t="s">
        <v>148</v>
      </c>
      <c r="AW211" s="97">
        <v>0</v>
      </c>
      <c r="AX211" s="256">
        <f t="shared" si="36"/>
        <v>10.23</v>
      </c>
      <c r="AY211" s="256">
        <f t="shared" si="37"/>
        <v>2.5319250000000002</v>
      </c>
      <c r="AZ211" s="275">
        <f>IF(C211="",0,(0.5*(_ML1*LPM)+0.5*(_ML1*HB)+0.66*(P*PR)+0.66*(_ML2*RDM)+0.66*(E*ER))*VLOOKUP(BATT,'Look Ups'!$U$3:$V$4,2,0))</f>
        <v>24.376245999999998</v>
      </c>
      <c r="BA211" s="98"/>
      <c r="BB211" s="99">
        <f>DB211*0.9</f>
        <v>24.217353899999999</v>
      </c>
      <c r="BC211" s="83"/>
      <c r="BD211" s="91"/>
      <c r="BE211" s="91"/>
      <c r="BF211" s="91"/>
      <c r="BG211" s="91"/>
      <c r="BH211" s="91"/>
      <c r="BI211" s="91"/>
      <c r="BJ211" s="91"/>
      <c r="BK211" s="91"/>
      <c r="BL211" s="97"/>
      <c r="BM211" s="275">
        <f t="shared" si="38"/>
        <v>0</v>
      </c>
      <c r="BN211" s="319"/>
      <c r="BO211" s="320"/>
      <c r="BP211" s="321"/>
      <c r="BQ211" s="321"/>
      <c r="BR211" s="320"/>
      <c r="BS211" s="321"/>
      <c r="BT211" s="321"/>
      <c r="BU211" s="280">
        <f t="shared" si="39"/>
        <v>0</v>
      </c>
      <c r="BV211" s="322"/>
      <c r="BW211" s="320"/>
      <c r="BX211" s="320"/>
      <c r="BY211" s="320"/>
      <c r="BZ211" s="320"/>
      <c r="CA211" s="320"/>
      <c r="CB211" s="320"/>
      <c r="CC211" s="275">
        <f t="shared" si="40"/>
        <v>0</v>
      </c>
      <c r="CD211" s="98"/>
      <c r="CE211" s="91"/>
      <c r="CF211" s="91"/>
      <c r="CG211" s="91"/>
      <c r="CH211" s="266" t="str">
        <f t="shared" si="41"/>
        <v/>
      </c>
      <c r="CI211" s="320"/>
      <c r="CJ211" s="280">
        <f t="shared" si="42"/>
        <v>0</v>
      </c>
      <c r="CK211" s="83">
        <v>7.2</v>
      </c>
      <c r="CL211" s="91">
        <v>12.69</v>
      </c>
      <c r="CM211" s="91">
        <v>10.53</v>
      </c>
      <c r="CN211" s="91">
        <v>5.27</v>
      </c>
      <c r="CO211" s="256">
        <f t="shared" si="43"/>
        <v>73.194444444444443</v>
      </c>
      <c r="CP211" s="320"/>
      <c r="CQ211" s="256">
        <f t="shared" si="44"/>
        <v>54.721799999999995</v>
      </c>
      <c r="CR211" s="256" t="str">
        <f>IF(CO211&lt;'Look Ups'!$AC$4,"Yes","No")</f>
        <v>No</v>
      </c>
      <c r="CS211" s="293">
        <f>IF(CR211="Yes",MIN(150,('Look Ups'!$AC$4-PSCR)/('Look Ups'!$AC$4-'Look Ups'!$AC$3)*100),0)</f>
        <v>0</v>
      </c>
      <c r="CT211" s="83"/>
      <c r="CU211" s="91"/>
      <c r="CV211" s="91"/>
      <c r="CW211" s="91"/>
      <c r="CX211" s="256" t="str">
        <f t="shared" si="45"/>
        <v/>
      </c>
      <c r="CY211" s="293">
        <f>IF(PUSCR&lt;'Look Ups'!$AC$4,MIN(150,('Look Ups'!$AC$4-PUSCR)/('Look Ups'!$AC$4-'Look Ups'!$AC$3)*100),0)</f>
        <v>0</v>
      </c>
      <c r="CZ211" s="275">
        <f>IF(PUSCR&lt;'Look Ups'!$AC$4,USCRF*(USCRL1+USCRL2)/4+(USCRMG-USCRF/2)*(USCRL1+USCRL2)/3,0)</f>
        <v>0</v>
      </c>
      <c r="DA211" s="294">
        <f t="shared" si="46"/>
        <v>1</v>
      </c>
      <c r="DB211" s="256">
        <f t="shared" si="47"/>
        <v>26.908170999999999</v>
      </c>
      <c r="DC211" s="256">
        <f t="shared" si="48"/>
        <v>1</v>
      </c>
      <c r="DD211" s="256">
        <f t="shared" si="49"/>
        <v>0</v>
      </c>
      <c r="DE211" s="256">
        <f>IF(AZ211&gt;0,'Look Ups'!$S$3,0)</f>
        <v>1</v>
      </c>
      <c r="DF211" s="256">
        <f t="shared" si="50"/>
        <v>0</v>
      </c>
      <c r="DG211" s="256">
        <f t="shared" si="51"/>
        <v>0</v>
      </c>
      <c r="DH211" s="256">
        <f t="shared" si="52"/>
        <v>0</v>
      </c>
      <c r="DI211" s="280">
        <f t="shared" si="53"/>
        <v>0</v>
      </c>
      <c r="DJ211" s="295" t="str">
        <f t="shared" si="54"/>
        <v>valid</v>
      </c>
      <c r="DK211" s="266" t="str">
        <f t="shared" si="55"/>
        <v>-</v>
      </c>
      <c r="DL211" s="267" t="str">
        <f t="shared" si="56"/>
        <v>MGScr</v>
      </c>
      <c r="DM211" s="294">
        <f t="shared" si="57"/>
        <v>26.908170999999999</v>
      </c>
      <c r="DN211" s="256">
        <f>IF(MSASP&gt;0,'Look Ups'!$AI$4*(ZVAL*MSASP-RSAG),0)</f>
        <v>0</v>
      </c>
      <c r="DO211" s="256">
        <f>IF(AND(MSASC&gt;0,(MSASC&gt;=0.36*RSAM)),('Look Ups'!$AI$3*(ZVAL*MSASC-RSAG)),(0))</f>
        <v>19.152629999999998</v>
      </c>
      <c r="DP211" s="256">
        <f>IF(MSASP&gt;0,'Look Ups'!$AI$5*(ZVAL*MSASP-RSAG),0)</f>
        <v>0</v>
      </c>
      <c r="DQ211" s="256">
        <f>IF(MSASC&gt;0,'Look Ups'!$AI$6*(MSASC-RSAG),0)</f>
        <v>3.8305259999999999</v>
      </c>
      <c r="DR211" s="280">
        <f>'Look Ups'!$AI$7*MAX(IF(MSAUSC&gt;0,EUSC/100*(MSAUSC-RSAG),0),IF(CR211="Yes",ELSC/100*(MSASC-RSAG),0))</f>
        <v>0</v>
      </c>
      <c r="DS211" s="280">
        <f t="shared" si="58"/>
        <v>9.6869415599999993</v>
      </c>
      <c r="DT211" s="296">
        <f t="shared" si="59"/>
        <v>70.278154900000004</v>
      </c>
      <c r="DU211" s="14"/>
    </row>
    <row r="212" spans="1:125" ht="15.6" customHeight="1" x14ac:dyDescent="0.3">
      <c r="A212" s="4"/>
      <c r="B212" s="365"/>
      <c r="C212" s="369" t="s">
        <v>756</v>
      </c>
      <c r="D212" s="370" t="s">
        <v>757</v>
      </c>
      <c r="E212" s="371" t="s">
        <v>758</v>
      </c>
      <c r="F212" s="252">
        <f t="shared" ca="1" si="30"/>
        <v>0.95899999999999996</v>
      </c>
      <c r="G212" s="252" t="str">
        <f ca="1">IF(OR(FLSCR="ERROR",FLSPI="ERROR"),"No",IF(TODAY()-'Look Ups'!$D$4*365&gt;I212,"WP Applied","Yes"))</f>
        <v>WP Applied</v>
      </c>
      <c r="H212" s="253" t="str">
        <f t="shared" si="31"/>
        <v>Main-Genoa-Spinnaker</v>
      </c>
      <c r="I212" s="1">
        <v>40432</v>
      </c>
      <c r="J212" s="1">
        <v>40792</v>
      </c>
      <c r="K212" s="87" t="s">
        <v>169</v>
      </c>
      <c r="L212" s="87" t="s">
        <v>170</v>
      </c>
      <c r="M212" s="207"/>
      <c r="N212" s="88" t="s">
        <v>143</v>
      </c>
      <c r="O212" s="88" t="s">
        <v>154</v>
      </c>
      <c r="P212" s="89"/>
      <c r="Q212" s="90">
        <v>9.42</v>
      </c>
      <c r="R212" s="87"/>
      <c r="S212" s="256">
        <f t="shared" si="32"/>
        <v>0.23550000000000001</v>
      </c>
      <c r="T212" s="117">
        <v>0.05</v>
      </c>
      <c r="U212" s="117">
        <v>0</v>
      </c>
      <c r="V212" s="258">
        <f t="shared" si="33"/>
        <v>9.3699999999999992</v>
      </c>
      <c r="W212" s="259">
        <f>IF(RL&gt;0,IF(RL&gt;'Look Ups'!Y$7,'Look Ups'!Y$8,('Look Ups'!Y$3*RL^3+'Look Ups'!Y$4*RL^2+'Look Ups'!Y$5*RL+'Look Ups'!Y$6)),0)</f>
        <v>0.29744701944900004</v>
      </c>
      <c r="X212" s="92">
        <v>2055</v>
      </c>
      <c r="Y212" s="263">
        <f ca="1">IF(WDATE&lt;(TODAY()-'Look Ups'!$D$4*365),-WM*'Look Ups'!$D$5/100,0)</f>
        <v>-308.25</v>
      </c>
      <c r="Z212" s="103"/>
      <c r="AA212" s="109"/>
      <c r="AB212" s="109"/>
      <c r="AC212" s="265">
        <f>WCD+NC*'Look Ups'!$AF$3</f>
        <v>0</v>
      </c>
      <c r="AD212" s="265">
        <f ca="1">IF(RL&lt;'Look Ups'!AM$3,'Look Ups'!AM$4,IF(RL&gt;'Look Ups'!AM$5,'Look Ups'!AM$6,(RL-'Look Ups'!AM$3)/('Look Ups'!AM$5-'Look Ups'!AM$3)*('Look Ups'!AM$6-'Look Ups'!AM$4)+'Look Ups'!AM$4))/100*WS</f>
        <v>354.43145454545459</v>
      </c>
      <c r="AE212" s="269">
        <f t="shared" ca="1" si="34"/>
        <v>1746.75</v>
      </c>
      <c r="AF212" s="267">
        <f t="shared" ca="1" si="35"/>
        <v>1746.75</v>
      </c>
      <c r="AG212" s="94" t="s">
        <v>145</v>
      </c>
      <c r="AH212" s="95" t="s">
        <v>146</v>
      </c>
      <c r="AI212" s="96" t="s">
        <v>147</v>
      </c>
      <c r="AJ212" s="218"/>
      <c r="AK212" s="273">
        <f>IF(C212="",0,VLOOKUP(AG212,'Look Ups'!$F$3:$G$6,2,0)*VLOOKUP(AH212,'Look Ups'!$I$3:$J$5,2,0)*VLOOKUP(AI212,'Look Ups'!$L$3:$M$7,2,0)*IF(AJ212="",1,VLOOKUP(AJ212,'Look Ups'!$O$3:$P$4,2,0)))</f>
        <v>1</v>
      </c>
      <c r="AL212" s="83">
        <v>12.04</v>
      </c>
      <c r="AM212" s="91">
        <v>11.445</v>
      </c>
      <c r="AN212" s="91">
        <v>4.62</v>
      </c>
      <c r="AO212" s="91">
        <v>1.33</v>
      </c>
      <c r="AP212" s="91">
        <v>0.81</v>
      </c>
      <c r="AQ212" s="91">
        <v>11.31</v>
      </c>
      <c r="AR212" s="91">
        <v>0.156</v>
      </c>
      <c r="AS212" s="91">
        <v>4.95</v>
      </c>
      <c r="AT212" s="91">
        <v>0.06</v>
      </c>
      <c r="AU212" s="91">
        <v>0</v>
      </c>
      <c r="AV212" s="91" t="s">
        <v>148</v>
      </c>
      <c r="AW212" s="97" t="s">
        <v>759</v>
      </c>
      <c r="AX212" s="256">
        <f t="shared" si="36"/>
        <v>11.370000000000001</v>
      </c>
      <c r="AY212" s="256">
        <f t="shared" si="37"/>
        <v>0</v>
      </c>
      <c r="AZ212" s="275">
        <f>IF(C212="",0,(0.5*(_ML1*LPM)+0.5*(_ML1*HB)+0.66*(P*PR)+0.66*(_ML2*RDM)+0.66*(E*ER))*VLOOKUP(BATT,'Look Ups'!$U$3:$V$4,2,0))</f>
        <v>43.297994599999996</v>
      </c>
      <c r="BA212" s="98"/>
      <c r="BB212" s="99"/>
      <c r="BC212" s="83">
        <v>10.77</v>
      </c>
      <c r="BD212" s="91">
        <v>4.5120000000000005</v>
      </c>
      <c r="BE212" s="91">
        <v>5.03</v>
      </c>
      <c r="BF212" s="91">
        <v>0.14499999999999999</v>
      </c>
      <c r="BG212" s="91">
        <v>9.57</v>
      </c>
      <c r="BH212" s="91"/>
      <c r="BI212" s="91"/>
      <c r="BJ212" s="91">
        <v>-0.15</v>
      </c>
      <c r="BK212" s="91">
        <v>0.04</v>
      </c>
      <c r="BL212" s="97" t="s">
        <v>759</v>
      </c>
      <c r="BM212" s="275">
        <f t="shared" si="38"/>
        <v>24.115389</v>
      </c>
      <c r="BN212" s="319"/>
      <c r="BO212" s="320"/>
      <c r="BP212" s="321"/>
      <c r="BQ212" s="321"/>
      <c r="BR212" s="320"/>
      <c r="BS212" s="321"/>
      <c r="BT212" s="321"/>
      <c r="BU212" s="280">
        <f t="shared" si="39"/>
        <v>0</v>
      </c>
      <c r="BV212" s="322"/>
      <c r="BW212" s="320"/>
      <c r="BX212" s="320"/>
      <c r="BY212" s="320"/>
      <c r="BZ212" s="320"/>
      <c r="CA212" s="320"/>
      <c r="CB212" s="320"/>
      <c r="CC212" s="275">
        <f t="shared" si="40"/>
        <v>0</v>
      </c>
      <c r="CD212" s="98">
        <v>8.6999999999999993</v>
      </c>
      <c r="CE212" s="91">
        <v>14.35</v>
      </c>
      <c r="CF212" s="91">
        <v>13.35</v>
      </c>
      <c r="CG212" s="91">
        <v>7.87</v>
      </c>
      <c r="CH212" s="266">
        <f t="shared" si="41"/>
        <v>90.459770114942543</v>
      </c>
      <c r="CI212" s="320"/>
      <c r="CJ212" s="280">
        <f t="shared" si="42"/>
        <v>92.748833333333323</v>
      </c>
      <c r="CK212" s="83"/>
      <c r="CL212" s="91"/>
      <c r="CM212" s="91"/>
      <c r="CN212" s="91"/>
      <c r="CO212" s="256" t="str">
        <f t="shared" si="43"/>
        <v/>
      </c>
      <c r="CP212" s="320"/>
      <c r="CQ212" s="256">
        <f t="shared" si="44"/>
        <v>0</v>
      </c>
      <c r="CR212" s="256" t="str">
        <f>IF(CO212&lt;'Look Ups'!$AC$4,"Yes","No")</f>
        <v>No</v>
      </c>
      <c r="CS212" s="293">
        <f>IF(CR212="Yes",MIN(150,('Look Ups'!$AC$4-PSCR)/('Look Ups'!$AC$4-'Look Ups'!$AC$3)*100),0)</f>
        <v>0</v>
      </c>
      <c r="CT212" s="83"/>
      <c r="CU212" s="91"/>
      <c r="CV212" s="91"/>
      <c r="CW212" s="91"/>
      <c r="CX212" s="256" t="str">
        <f t="shared" si="45"/>
        <v/>
      </c>
      <c r="CY212" s="293">
        <f>IF(PUSCR&lt;'Look Ups'!$AC$4,MIN(150,('Look Ups'!$AC$4-PUSCR)/('Look Ups'!$AC$4-'Look Ups'!$AC$3)*100),0)</f>
        <v>0</v>
      </c>
      <c r="CZ212" s="275">
        <f>IF(PUSCR&lt;'Look Ups'!$AC$4,USCRF*(USCRL1+USCRL2)/4+(USCRMG-USCRF/2)*(USCRL1+USCRL2)/3,0)</f>
        <v>0</v>
      </c>
      <c r="DA212" s="294">
        <f t="shared" si="46"/>
        <v>1</v>
      </c>
      <c r="DB212" s="256">
        <f t="shared" si="47"/>
        <v>43.297994599999996</v>
      </c>
      <c r="DC212" s="256">
        <f t="shared" si="48"/>
        <v>1</v>
      </c>
      <c r="DD212" s="256">
        <f t="shared" si="49"/>
        <v>24.115389</v>
      </c>
      <c r="DE212" s="256">
        <f>IF(AZ212&gt;0,'Look Ups'!$S$3,0)</f>
        <v>1</v>
      </c>
      <c r="DF212" s="256">
        <f t="shared" si="50"/>
        <v>0</v>
      </c>
      <c r="DG212" s="256">
        <f t="shared" si="51"/>
        <v>0</v>
      </c>
      <c r="DH212" s="256">
        <f t="shared" si="52"/>
        <v>0</v>
      </c>
      <c r="DI212" s="280">
        <f t="shared" si="53"/>
        <v>0</v>
      </c>
      <c r="DJ212" s="295" t="str">
        <f t="shared" si="54"/>
        <v>-</v>
      </c>
      <c r="DK212" s="266" t="str">
        <f t="shared" si="55"/>
        <v>valid</v>
      </c>
      <c r="DL212" s="267" t="str">
        <f t="shared" si="56"/>
        <v>MGSP</v>
      </c>
      <c r="DM212" s="294">
        <f t="shared" si="57"/>
        <v>67.413383600000003</v>
      </c>
      <c r="DN212" s="256">
        <f>IF(MSASP&gt;0,'Look Ups'!$AI$4*(ZVAL*MSASP-RSAG),0)</f>
        <v>20.590033299999998</v>
      </c>
      <c r="DO212" s="256">
        <f>IF(AND(MSASC&gt;0,(MSASC&gt;=0.36*RSAM)),('Look Ups'!$AI$3*(ZVAL*MSASC-RSAG)),(0))</f>
        <v>0</v>
      </c>
      <c r="DP212" s="256">
        <f>IF(MSASP&gt;0,'Look Ups'!$AI$5*(ZVAL*MSASP-RSAG),0)</f>
        <v>19.217364413333335</v>
      </c>
      <c r="DQ212" s="256">
        <f>IF(MSASC&gt;0,'Look Ups'!$AI$6*(MSASC-RSAG),0)</f>
        <v>0</v>
      </c>
      <c r="DR212" s="280">
        <f>'Look Ups'!$AI$7*MAX(IF(MSAUSC&gt;0,EUSC/100*(MSAUSC-RSAG),0),IF(CR212="Yes",ELSC/100*(MSASC-RSAG),0))</f>
        <v>0</v>
      </c>
      <c r="DS212" s="280">
        <f t="shared" si="58"/>
        <v>15.587278055999997</v>
      </c>
      <c r="DT212" s="296">
        <f t="shared" si="59"/>
        <v>88.003416900000005</v>
      </c>
      <c r="DU212" s="14"/>
    </row>
    <row r="213" spans="1:125" ht="15.6" customHeight="1" x14ac:dyDescent="0.3">
      <c r="A213" s="4"/>
      <c r="B213" s="365"/>
      <c r="C213" s="369" t="s">
        <v>760</v>
      </c>
      <c r="D213" s="370" t="s">
        <v>761</v>
      </c>
      <c r="E213" s="371" t="s">
        <v>762</v>
      </c>
      <c r="F213" s="252">
        <f t="shared" ca="1" si="30"/>
        <v>0.99</v>
      </c>
      <c r="G213" s="252" t="str">
        <f ca="1">IF(OR(FLSCR="ERROR",FLSPI="ERROR"),"No",IF(TODAY()-'Look Ups'!$D$4*365&gt;I213,"WP Applied","Yes"))</f>
        <v>WP Applied</v>
      </c>
      <c r="H213" s="253" t="str">
        <f t="shared" si="31"/>
        <v>Main-Genoa-Spinnaker</v>
      </c>
      <c r="I213" s="1">
        <v>38731</v>
      </c>
      <c r="J213" s="1">
        <v>38970</v>
      </c>
      <c r="K213" s="87" t="s">
        <v>763</v>
      </c>
      <c r="L213" s="87" t="s">
        <v>676</v>
      </c>
      <c r="M213" s="207"/>
      <c r="N213" s="88" t="s">
        <v>208</v>
      </c>
      <c r="O213" s="88"/>
      <c r="P213" s="89"/>
      <c r="Q213" s="90">
        <v>8.08</v>
      </c>
      <c r="R213" s="87"/>
      <c r="S213" s="256">
        <f t="shared" si="32"/>
        <v>0.20200000000000001</v>
      </c>
      <c r="T213" s="117">
        <v>0.08</v>
      </c>
      <c r="U213" s="117">
        <v>0</v>
      </c>
      <c r="V213" s="258">
        <f t="shared" si="33"/>
        <v>8</v>
      </c>
      <c r="W213" s="259">
        <f>IF(RL&gt;0,IF(RL&gt;'Look Ups'!Y$7,'Look Ups'!Y$8,('Look Ups'!Y$3*RL^3+'Look Ups'!Y$4*RL^2+'Look Ups'!Y$5*RL+'Look Ups'!Y$6)),0)</f>
        <v>0.293796</v>
      </c>
      <c r="X213" s="92">
        <f>945-10</f>
        <v>935</v>
      </c>
      <c r="Y213" s="263">
        <f ca="1">IF(WDATE&lt;(TODAY()-'Look Ups'!$D$4*365),-WM*'Look Ups'!$D$5/100,0)</f>
        <v>-140.25</v>
      </c>
      <c r="Z213" s="103"/>
      <c r="AA213" s="109"/>
      <c r="AB213" s="109"/>
      <c r="AC213" s="265">
        <f>WCD+NC*'Look Ups'!$AF$3</f>
        <v>0</v>
      </c>
      <c r="AD213" s="265">
        <f ca="1">IF(RL&lt;'Look Ups'!AM$3,'Look Ups'!AM$4,IF(RL&gt;'Look Ups'!AM$5,'Look Ups'!AM$6,(RL-'Look Ups'!AM$3)/('Look Ups'!AM$5-'Look Ups'!AM$3)*('Look Ups'!AM$6-'Look Ups'!AM$4)+'Look Ups'!AM$4))/100*WS</f>
        <v>200.85500000000002</v>
      </c>
      <c r="AE213" s="269">
        <f t="shared" ca="1" si="34"/>
        <v>794.75</v>
      </c>
      <c r="AF213" s="267">
        <f t="shared" ca="1" si="35"/>
        <v>794.75</v>
      </c>
      <c r="AG213" s="94" t="s">
        <v>145</v>
      </c>
      <c r="AH213" s="95" t="s">
        <v>146</v>
      </c>
      <c r="AI213" s="96" t="s">
        <v>147</v>
      </c>
      <c r="AJ213" s="218"/>
      <c r="AK213" s="273">
        <f>IF(C213="",0,VLOOKUP(AG213,'Look Ups'!$F$3:$G$6,2,0)*VLOOKUP(AH213,'Look Ups'!$I$3:$J$5,2,0)*VLOOKUP(AI213,'Look Ups'!$L$3:$M$7,2,0)*IF(AJ213="",1,VLOOKUP(AJ213,'Look Ups'!$O$3:$P$4,2,0)))</f>
        <v>1</v>
      </c>
      <c r="AL213" s="83">
        <v>9.8699999999999992</v>
      </c>
      <c r="AM213" s="91">
        <v>9.6</v>
      </c>
      <c r="AN213" s="91">
        <v>3.0950000000000002</v>
      </c>
      <c r="AO213" s="91">
        <v>0.94</v>
      </c>
      <c r="AP213" s="91">
        <v>1.0900000000000001</v>
      </c>
      <c r="AQ213" s="91">
        <v>9.6</v>
      </c>
      <c r="AR213" s="91">
        <v>0</v>
      </c>
      <c r="AS213" s="91">
        <v>3.19</v>
      </c>
      <c r="AT213" s="91">
        <v>0.03</v>
      </c>
      <c r="AU213" s="91">
        <v>0.47</v>
      </c>
      <c r="AV213" s="91" t="s">
        <v>148</v>
      </c>
      <c r="AW213" s="97">
        <v>0</v>
      </c>
      <c r="AX213" s="256">
        <f t="shared" si="36"/>
        <v>9.629999999999999</v>
      </c>
      <c r="AY213" s="256">
        <f t="shared" si="37"/>
        <v>1.6919999999999997</v>
      </c>
      <c r="AZ213" s="275">
        <f>IF(C213="",0,(0.5*(_ML1*LPM)+0.5*(_ML1*HB)+0.66*(P*PR)+0.66*(_ML2*RDM)+0.66*(E*ER))*VLOOKUP(BATT,'Look Ups'!$U$3:$V$4,2,0))</f>
        <v>26.882127000000001</v>
      </c>
      <c r="BA213" s="98"/>
      <c r="BB213" s="99"/>
      <c r="BC213" s="83">
        <v>8.26</v>
      </c>
      <c r="BD213" s="91">
        <v>3.81</v>
      </c>
      <c r="BE213" s="91">
        <v>4.1100000000000003</v>
      </c>
      <c r="BF213" s="91">
        <v>0.12</v>
      </c>
      <c r="BG213" s="91">
        <v>7.7</v>
      </c>
      <c r="BH213" s="91"/>
      <c r="BI213" s="91"/>
      <c r="BJ213" s="91">
        <v>-0.1</v>
      </c>
      <c r="BK213" s="91">
        <v>-0.08</v>
      </c>
      <c r="BL213" s="97">
        <v>0</v>
      </c>
      <c r="BM213" s="275">
        <f t="shared" si="38"/>
        <v>15.116484</v>
      </c>
      <c r="BN213" s="319"/>
      <c r="BO213" s="320"/>
      <c r="BP213" s="321"/>
      <c r="BQ213" s="321"/>
      <c r="BR213" s="320"/>
      <c r="BS213" s="321"/>
      <c r="BT213" s="321"/>
      <c r="BU213" s="280">
        <f t="shared" si="39"/>
        <v>0</v>
      </c>
      <c r="BV213" s="322"/>
      <c r="BW213" s="320"/>
      <c r="BX213" s="320"/>
      <c r="BY213" s="320"/>
      <c r="BZ213" s="320"/>
      <c r="CA213" s="320"/>
      <c r="CB213" s="320"/>
      <c r="CC213" s="275">
        <f t="shared" si="40"/>
        <v>0</v>
      </c>
      <c r="CD213" s="98">
        <v>6.34</v>
      </c>
      <c r="CE213" s="91">
        <v>12.03</v>
      </c>
      <c r="CF213" s="91">
        <v>11.23</v>
      </c>
      <c r="CG213" s="91">
        <v>6.39</v>
      </c>
      <c r="CH213" s="266">
        <f t="shared" si="41"/>
        <v>100.78864353312302</v>
      </c>
      <c r="CI213" s="320"/>
      <c r="CJ213" s="280">
        <f t="shared" si="42"/>
        <v>61.832833333333326</v>
      </c>
      <c r="CK213" s="83"/>
      <c r="CL213" s="91">
        <v>0</v>
      </c>
      <c r="CM213" s="91">
        <v>0</v>
      </c>
      <c r="CN213" s="91">
        <v>0</v>
      </c>
      <c r="CO213" s="256" t="str">
        <f t="shared" si="43"/>
        <v/>
      </c>
      <c r="CP213" s="320"/>
      <c r="CQ213" s="256">
        <f t="shared" si="44"/>
        <v>0</v>
      </c>
      <c r="CR213" s="256" t="str">
        <f>IF(CO213&lt;'Look Ups'!$AC$4,"Yes","No")</f>
        <v>No</v>
      </c>
      <c r="CS213" s="293">
        <f>IF(CR213="Yes",MIN(150,('Look Ups'!$AC$4-PSCR)/('Look Ups'!$AC$4-'Look Ups'!$AC$3)*100),0)</f>
        <v>0</v>
      </c>
      <c r="CT213" s="83"/>
      <c r="CU213" s="91"/>
      <c r="CV213" s="91"/>
      <c r="CW213" s="91"/>
      <c r="CX213" s="256" t="str">
        <f t="shared" si="45"/>
        <v/>
      </c>
      <c r="CY213" s="293">
        <f>IF(PUSCR&lt;'Look Ups'!$AC$4,MIN(150,('Look Ups'!$AC$4-PUSCR)/('Look Ups'!$AC$4-'Look Ups'!$AC$3)*100),0)</f>
        <v>0</v>
      </c>
      <c r="CZ213" s="275">
        <f>IF(PUSCR&lt;'Look Ups'!$AC$4,USCRF*(USCRL1+USCRL2)/4+(USCRMG-USCRF/2)*(USCRL1+USCRL2)/3,0)</f>
        <v>0</v>
      </c>
      <c r="DA213" s="294">
        <f t="shared" si="46"/>
        <v>1</v>
      </c>
      <c r="DB213" s="256">
        <f t="shared" si="47"/>
        <v>28.574127000000004</v>
      </c>
      <c r="DC213" s="256">
        <f t="shared" si="48"/>
        <v>1</v>
      </c>
      <c r="DD213" s="256">
        <f t="shared" si="49"/>
        <v>15.116484</v>
      </c>
      <c r="DE213" s="256">
        <f>IF(AZ213&gt;0,'Look Ups'!$S$3,0)</f>
        <v>1</v>
      </c>
      <c r="DF213" s="256">
        <f t="shared" si="50"/>
        <v>0</v>
      </c>
      <c r="DG213" s="256">
        <f t="shared" si="51"/>
        <v>0</v>
      </c>
      <c r="DH213" s="256">
        <f t="shared" si="52"/>
        <v>0</v>
      </c>
      <c r="DI213" s="280">
        <f t="shared" si="53"/>
        <v>0</v>
      </c>
      <c r="DJ213" s="295" t="str">
        <f t="shared" si="54"/>
        <v>-</v>
      </c>
      <c r="DK213" s="266" t="str">
        <f t="shared" si="55"/>
        <v>valid</v>
      </c>
      <c r="DL213" s="267" t="str">
        <f t="shared" si="56"/>
        <v>MGSP</v>
      </c>
      <c r="DM213" s="294">
        <f t="shared" si="57"/>
        <v>43.690611000000004</v>
      </c>
      <c r="DN213" s="256">
        <f>IF(MSASP&gt;0,'Look Ups'!$AI$4*(ZVAL*MSASP-RSAG),0)</f>
        <v>14.014904799999998</v>
      </c>
      <c r="DO213" s="256">
        <f>IF(AND(MSASC&gt;0,(MSASC&gt;=0.36*RSAM)),('Look Ups'!$AI$3*(ZVAL*MSASC-RSAG)),(0))</f>
        <v>0</v>
      </c>
      <c r="DP213" s="256">
        <f>IF(MSASP&gt;0,'Look Ups'!$AI$5*(ZVAL*MSASP-RSAG),0)</f>
        <v>13.080577813333333</v>
      </c>
      <c r="DQ213" s="256">
        <f>IF(MSASC&gt;0,'Look Ups'!$AI$6*(MSASC-RSAG),0)</f>
        <v>0</v>
      </c>
      <c r="DR213" s="280">
        <f>'Look Ups'!$AI$7*MAX(IF(MSAUSC&gt;0,EUSC/100*(MSAUSC-RSAG),0),IF(CR213="Yes",ELSC/100*(MSASC-RSAG),0))</f>
        <v>0</v>
      </c>
      <c r="DS213" s="280">
        <f t="shared" si="58"/>
        <v>10.286685720000001</v>
      </c>
      <c r="DT213" s="296">
        <f t="shared" si="59"/>
        <v>57.705515800000001</v>
      </c>
      <c r="DU213" s="14"/>
    </row>
    <row r="214" spans="1:125" ht="15.6" customHeight="1" x14ac:dyDescent="0.3">
      <c r="A214" s="4"/>
      <c r="B214" s="365"/>
      <c r="C214" s="369" t="s">
        <v>764</v>
      </c>
      <c r="D214" s="370" t="s">
        <v>678</v>
      </c>
      <c r="E214" s="371" t="s">
        <v>765</v>
      </c>
      <c r="F214" s="252">
        <f t="shared" ca="1" si="30"/>
        <v>0.753</v>
      </c>
      <c r="G214" s="252" t="str">
        <f ca="1">IF(OR(FLSCR="ERROR",FLSPI="ERROR"),"No",IF(TODAY()-'Look Ups'!$D$4*365&gt;I214,"WP Applied","Yes"))</f>
        <v>WP Applied</v>
      </c>
      <c r="H214" s="253" t="str">
        <f t="shared" si="31"/>
        <v>Main-Genoa-Spinnaker</v>
      </c>
      <c r="I214" s="1">
        <v>41959</v>
      </c>
      <c r="J214" s="1">
        <v>41959</v>
      </c>
      <c r="K214" s="87" t="s">
        <v>159</v>
      </c>
      <c r="L214" s="87" t="s">
        <v>159</v>
      </c>
      <c r="M214" s="207"/>
      <c r="N214" s="88" t="s">
        <v>143</v>
      </c>
      <c r="O214" s="88" t="s">
        <v>154</v>
      </c>
      <c r="P214" s="89">
        <v>4.5</v>
      </c>
      <c r="Q214" s="90">
        <v>5.97</v>
      </c>
      <c r="R214" s="87"/>
      <c r="S214" s="256">
        <f t="shared" si="32"/>
        <v>0.14924999999999999</v>
      </c>
      <c r="T214" s="117">
        <v>0.31</v>
      </c>
      <c r="U214" s="117">
        <v>0</v>
      </c>
      <c r="V214" s="258">
        <f t="shared" si="33"/>
        <v>5.66</v>
      </c>
      <c r="W214" s="259">
        <f>IF(RL&gt;0,IF(RL&gt;'Look Ups'!Y$7,'Look Ups'!Y$8,('Look Ups'!Y$3*RL^3+'Look Ups'!Y$4*RL^2+'Look Ups'!Y$5*RL+'Look Ups'!Y$6)),0)</f>
        <v>0.28200376936799998</v>
      </c>
      <c r="X214" s="92">
        <v>830</v>
      </c>
      <c r="Y214" s="263">
        <f ca="1">IF(WDATE&lt;(TODAY()-'Look Ups'!$D$4*365),-WM*'Look Ups'!$D$5/100,0)</f>
        <v>-124.5</v>
      </c>
      <c r="Z214" s="103"/>
      <c r="AA214" s="109"/>
      <c r="AB214" s="109"/>
      <c r="AC214" s="265">
        <f>WCD+NC*'Look Ups'!$AF$3</f>
        <v>0</v>
      </c>
      <c r="AD214" s="265">
        <f ca="1">IF(RL&lt;'Look Ups'!AM$3,'Look Ups'!AM$4,IF(RL&gt;'Look Ups'!AM$5,'Look Ups'!AM$6,(RL-'Look Ups'!AM$3)/('Look Ups'!AM$5-'Look Ups'!AM$3)*('Look Ups'!AM$6-'Look Ups'!AM$4)+'Look Ups'!AM$4))/100*WS</f>
        <v>211.65</v>
      </c>
      <c r="AE214" s="269">
        <f t="shared" ca="1" si="34"/>
        <v>705.5</v>
      </c>
      <c r="AF214" s="267">
        <f t="shared" ca="1" si="35"/>
        <v>705.5</v>
      </c>
      <c r="AG214" s="94" t="s">
        <v>155</v>
      </c>
      <c r="AH214" s="95" t="s">
        <v>146</v>
      </c>
      <c r="AI214" s="96" t="s">
        <v>147</v>
      </c>
      <c r="AJ214" s="218"/>
      <c r="AK214" s="273">
        <f>IF(C214="",0,VLOOKUP(AG214,'Look Ups'!$F$3:$G$6,2,0)*VLOOKUP(AH214,'Look Ups'!$I$3:$J$5,2,0)*VLOOKUP(AI214,'Look Ups'!$L$3:$M$7,2,0)*IF(AJ214="",1,VLOOKUP(AJ214,'Look Ups'!$O$3:$P$4,2,0)))</f>
        <v>0.99</v>
      </c>
      <c r="AL214" s="83">
        <v>7.45</v>
      </c>
      <c r="AM214" s="91">
        <v>7.38</v>
      </c>
      <c r="AN214" s="91">
        <v>2.25</v>
      </c>
      <c r="AO214" s="91">
        <v>1.0449999999999999</v>
      </c>
      <c r="AP214" s="91">
        <v>0.32500000000000001</v>
      </c>
      <c r="AQ214" s="91">
        <v>7.21</v>
      </c>
      <c r="AR214" s="91">
        <v>0</v>
      </c>
      <c r="AS214" s="91">
        <v>2.4500000000000002</v>
      </c>
      <c r="AT214" s="91">
        <v>0.01</v>
      </c>
      <c r="AU214" s="91">
        <v>0</v>
      </c>
      <c r="AV214" s="91" t="s">
        <v>148</v>
      </c>
      <c r="AW214" s="97">
        <v>0</v>
      </c>
      <c r="AX214" s="256">
        <f t="shared" si="36"/>
        <v>7.22</v>
      </c>
      <c r="AY214" s="256">
        <f t="shared" si="37"/>
        <v>0</v>
      </c>
      <c r="AZ214" s="275">
        <f>IF(C214="",0,(0.5*(_ML1*LPM)+0.5*(_ML1*HB)+0.66*(P*PR)+0.66*(_ML2*RDM)+0.66*(E*ER))*VLOOKUP(BATT,'Look Ups'!$U$3:$V$4,2,0))</f>
        <v>13.873055000000001</v>
      </c>
      <c r="BA214" s="98"/>
      <c r="BB214" s="99"/>
      <c r="BC214" s="83">
        <v>7</v>
      </c>
      <c r="BD214" s="91">
        <v>3.8</v>
      </c>
      <c r="BE214" s="91">
        <v>4.4000000000000004</v>
      </c>
      <c r="BF214" s="91">
        <v>0.12</v>
      </c>
      <c r="BG214" s="91">
        <v>6</v>
      </c>
      <c r="BH214" s="91"/>
      <c r="BI214" s="91"/>
      <c r="BJ214" s="91">
        <v>0.05</v>
      </c>
      <c r="BK214" s="91">
        <v>0</v>
      </c>
      <c r="BL214" s="97"/>
      <c r="BM214" s="275">
        <f t="shared" si="38"/>
        <v>13.84648</v>
      </c>
      <c r="BN214" s="319"/>
      <c r="BO214" s="320"/>
      <c r="BP214" s="321"/>
      <c r="BQ214" s="321"/>
      <c r="BR214" s="320"/>
      <c r="BS214" s="321"/>
      <c r="BT214" s="321"/>
      <c r="BU214" s="280">
        <f t="shared" si="39"/>
        <v>0</v>
      </c>
      <c r="BV214" s="322"/>
      <c r="BW214" s="320"/>
      <c r="BX214" s="320"/>
      <c r="BY214" s="320"/>
      <c r="BZ214" s="320"/>
      <c r="CA214" s="320"/>
      <c r="CB214" s="320"/>
      <c r="CC214" s="275">
        <f t="shared" si="40"/>
        <v>0</v>
      </c>
      <c r="CD214" s="98">
        <v>7</v>
      </c>
      <c r="CE214" s="91">
        <v>10.25</v>
      </c>
      <c r="CF214" s="91">
        <v>8.65</v>
      </c>
      <c r="CG214" s="91">
        <v>5.25</v>
      </c>
      <c r="CH214" s="266">
        <f t="shared" si="41"/>
        <v>75</v>
      </c>
      <c r="CI214" s="320"/>
      <c r="CJ214" s="280">
        <f t="shared" si="42"/>
        <v>44.099999999999994</v>
      </c>
      <c r="CK214" s="83"/>
      <c r="CL214" s="91"/>
      <c r="CM214" s="91"/>
      <c r="CN214" s="91"/>
      <c r="CO214" s="256" t="str">
        <f t="shared" si="43"/>
        <v/>
      </c>
      <c r="CP214" s="320"/>
      <c r="CQ214" s="256">
        <f t="shared" si="44"/>
        <v>0</v>
      </c>
      <c r="CR214" s="256" t="str">
        <f>IF(CO214&lt;'Look Ups'!$AC$4,"Yes","No")</f>
        <v>No</v>
      </c>
      <c r="CS214" s="293">
        <f>IF(CR214="Yes",MIN(150,('Look Ups'!$AC$4-PSCR)/('Look Ups'!$AC$4-'Look Ups'!$AC$3)*100),0)</f>
        <v>0</v>
      </c>
      <c r="CT214" s="83"/>
      <c r="CU214" s="91"/>
      <c r="CV214" s="91"/>
      <c r="CW214" s="91"/>
      <c r="CX214" s="256" t="str">
        <f t="shared" si="45"/>
        <v/>
      </c>
      <c r="CY214" s="293">
        <f>IF(PUSCR&lt;'Look Ups'!$AC$4,MIN(150,('Look Ups'!$AC$4-PUSCR)/('Look Ups'!$AC$4-'Look Ups'!$AC$3)*100),0)</f>
        <v>0</v>
      </c>
      <c r="CZ214" s="275">
        <f>IF(PUSCR&lt;'Look Ups'!$AC$4,USCRF*(USCRL1+USCRL2)/4+(USCRMG-USCRF/2)*(USCRL1+USCRL2)/3,0)</f>
        <v>0</v>
      </c>
      <c r="DA214" s="294">
        <f t="shared" si="46"/>
        <v>1</v>
      </c>
      <c r="DB214" s="256">
        <f t="shared" si="47"/>
        <v>13.873055000000001</v>
      </c>
      <c r="DC214" s="256">
        <f t="shared" si="48"/>
        <v>1</v>
      </c>
      <c r="DD214" s="256">
        <f t="shared" si="49"/>
        <v>13.84648</v>
      </c>
      <c r="DE214" s="256">
        <f>IF(AZ214&gt;0,'Look Ups'!$S$3,0)</f>
        <v>1</v>
      </c>
      <c r="DF214" s="256">
        <f t="shared" si="50"/>
        <v>0</v>
      </c>
      <c r="DG214" s="256">
        <f t="shared" si="51"/>
        <v>0</v>
      </c>
      <c r="DH214" s="256">
        <f t="shared" si="52"/>
        <v>0</v>
      </c>
      <c r="DI214" s="280">
        <f t="shared" si="53"/>
        <v>0</v>
      </c>
      <c r="DJ214" s="295" t="str">
        <f t="shared" si="54"/>
        <v>-</v>
      </c>
      <c r="DK214" s="266" t="str">
        <f t="shared" si="55"/>
        <v>valid</v>
      </c>
      <c r="DL214" s="267" t="str">
        <f t="shared" si="56"/>
        <v>MGSP</v>
      </c>
      <c r="DM214" s="294">
        <f t="shared" si="57"/>
        <v>27.719535</v>
      </c>
      <c r="DN214" s="256">
        <f>IF(MSASP&gt;0,'Look Ups'!$AI$4*(ZVAL*MSASP-RSAG),0)</f>
        <v>9.0760559999999977</v>
      </c>
      <c r="DO214" s="256">
        <f>IF(AND(MSASC&gt;0,(MSASC&gt;=0.36*RSAM)),('Look Ups'!$AI$3*(ZVAL*MSASC-RSAG)),(0))</f>
        <v>0</v>
      </c>
      <c r="DP214" s="256">
        <f>IF(MSASP&gt;0,'Look Ups'!$AI$5*(ZVAL*MSASP-RSAG),0)</f>
        <v>8.4709855999999988</v>
      </c>
      <c r="DQ214" s="256">
        <f>IF(MSASC&gt;0,'Look Ups'!$AI$6*(MSASC-RSAG),0)</f>
        <v>0</v>
      </c>
      <c r="DR214" s="280">
        <f>'Look Ups'!$AI$7*MAX(IF(MSAUSC&gt;0,EUSC/100*(MSAUSC-RSAG),0),IF(CR214="Yes",ELSC/100*(MSASC-RSAG),0))</f>
        <v>0</v>
      </c>
      <c r="DS214" s="280">
        <f t="shared" si="58"/>
        <v>4.9942998000000003</v>
      </c>
      <c r="DT214" s="296">
        <f t="shared" si="59"/>
        <v>36.795591000000002</v>
      </c>
      <c r="DU214" s="14"/>
    </row>
    <row r="215" spans="1:125" ht="15.6" customHeight="1" x14ac:dyDescent="0.3">
      <c r="A215" s="4"/>
      <c r="B215" s="365"/>
      <c r="C215" s="369" t="s">
        <v>766</v>
      </c>
      <c r="D215" s="370" t="s">
        <v>610</v>
      </c>
      <c r="E215" s="371" t="s">
        <v>767</v>
      </c>
      <c r="F215" s="252">
        <f t="shared" ca="1" si="30"/>
        <v>0.95799999999999996</v>
      </c>
      <c r="G215" s="252" t="str">
        <f ca="1">IF(OR(FLSCR="ERROR",FLSPI="ERROR"),"No",IF(TODAY()-'Look Ups'!$D$4*365&gt;I215,"WP Applied","Yes"))</f>
        <v>WP Applied</v>
      </c>
      <c r="H215" s="253" t="str">
        <f t="shared" si="31"/>
        <v>Main-Genoa-Spinnaker</v>
      </c>
      <c r="I215" s="1">
        <v>40017</v>
      </c>
      <c r="J215" s="1">
        <v>40842</v>
      </c>
      <c r="K215" s="87" t="s">
        <v>218</v>
      </c>
      <c r="L215" s="87" t="s">
        <v>192</v>
      </c>
      <c r="M215" s="207"/>
      <c r="N215" s="88" t="s">
        <v>271</v>
      </c>
      <c r="O215" s="88"/>
      <c r="P215" s="89"/>
      <c r="Q215" s="90">
        <v>9.5299999999999994</v>
      </c>
      <c r="R215" s="87"/>
      <c r="S215" s="256">
        <f t="shared" si="32"/>
        <v>0.23824999999999999</v>
      </c>
      <c r="T215" s="117">
        <v>0.06</v>
      </c>
      <c r="U215" s="117"/>
      <c r="V215" s="258">
        <f t="shared" si="33"/>
        <v>9.4699999999999989</v>
      </c>
      <c r="W215" s="259">
        <f>IF(RL&gt;0,IF(RL&gt;'Look Ups'!Y$7,'Look Ups'!Y$8,('Look Ups'!Y$3*RL^3+'Look Ups'!Y$4*RL^2+'Look Ups'!Y$5*RL+'Look Ups'!Y$6)),0)</f>
        <v>0.29763791805899997</v>
      </c>
      <c r="X215" s="92">
        <v>1865</v>
      </c>
      <c r="Y215" s="263">
        <f ca="1">IF(WDATE&lt;(TODAY()-'Look Ups'!$D$4*365),-WM*'Look Ups'!$D$5/100,0)</f>
        <v>-279.75</v>
      </c>
      <c r="Z215" s="103"/>
      <c r="AA215" s="109"/>
      <c r="AB215" s="109"/>
      <c r="AC215" s="265">
        <f>WCD+NC*'Look Ups'!$AF$3</f>
        <v>0</v>
      </c>
      <c r="AD215" s="265">
        <f ca="1">IF(RL&lt;'Look Ups'!AM$3,'Look Ups'!AM$4,IF(RL&gt;'Look Ups'!AM$5,'Look Ups'!AM$6,(RL-'Look Ups'!AM$3)/('Look Ups'!AM$5-'Look Ups'!AM$3)*('Look Ups'!AM$6-'Look Ups'!AM$4)+'Look Ups'!AM$4))/100*WS</f>
        <v>315.89709090909093</v>
      </c>
      <c r="AE215" s="269">
        <f t="shared" ca="1" si="34"/>
        <v>1585.25</v>
      </c>
      <c r="AF215" s="267">
        <f t="shared" ca="1" si="35"/>
        <v>1585.25</v>
      </c>
      <c r="AG215" s="94" t="s">
        <v>145</v>
      </c>
      <c r="AH215" s="95" t="s">
        <v>146</v>
      </c>
      <c r="AI215" s="96" t="s">
        <v>147</v>
      </c>
      <c r="AJ215" s="218"/>
      <c r="AK215" s="273">
        <f>IF(C215="",0,VLOOKUP(AG215,'Look Ups'!$F$3:$G$6,2,0)*VLOOKUP(AH215,'Look Ups'!$I$3:$J$5,2,0)*VLOOKUP(AI215,'Look Ups'!$L$3:$M$7,2,0)*IF(AJ215="",1,VLOOKUP(AJ215,'Look Ups'!$O$3:$P$4,2,0)))</f>
        <v>1</v>
      </c>
      <c r="AL215" s="83">
        <v>12.41</v>
      </c>
      <c r="AM215" s="91">
        <v>12.05</v>
      </c>
      <c r="AN215" s="91">
        <v>4.05</v>
      </c>
      <c r="AO215" s="91">
        <v>1.32</v>
      </c>
      <c r="AP215" s="91">
        <v>0.46</v>
      </c>
      <c r="AQ215" s="91">
        <v>11.97</v>
      </c>
      <c r="AR215" s="91">
        <v>0.16</v>
      </c>
      <c r="AS215" s="91">
        <v>4.22</v>
      </c>
      <c r="AT215" s="91">
        <v>0.04</v>
      </c>
      <c r="AU215" s="91">
        <v>0.63500000000000001</v>
      </c>
      <c r="AV215" s="91" t="s">
        <v>148</v>
      </c>
      <c r="AW215" s="97"/>
      <c r="AX215" s="256">
        <f t="shared" si="36"/>
        <v>12.01</v>
      </c>
      <c r="AY215" s="256">
        <f t="shared" si="37"/>
        <v>2.8503562500000004</v>
      </c>
      <c r="AZ215" s="275">
        <f>IF(C215="",0,(0.5*(_ML1*LPM)+0.5*(_ML1*HB)+0.66*(P*PR)+0.66*(_ML2*RDM)+0.66*(E*ER))*VLOOKUP(BATT,'Look Ups'!$U$3:$V$4,2,0))</f>
        <v>38.354669999999999</v>
      </c>
      <c r="BA215" s="98"/>
      <c r="BB215" s="99"/>
      <c r="BC215" s="83">
        <v>10.82</v>
      </c>
      <c r="BD215" s="91">
        <v>3.57</v>
      </c>
      <c r="BE215" s="91">
        <v>4.03</v>
      </c>
      <c r="BF215" s="91">
        <v>0.17</v>
      </c>
      <c r="BG215" s="91">
        <v>9.69</v>
      </c>
      <c r="BH215" s="91"/>
      <c r="BI215" s="91"/>
      <c r="BJ215" s="91">
        <v>-7.0000000000000007E-2</v>
      </c>
      <c r="BK215" s="91">
        <v>0.05</v>
      </c>
      <c r="BL215" s="97"/>
      <c r="BM215" s="275">
        <f t="shared" si="38"/>
        <v>19.675248</v>
      </c>
      <c r="BN215" s="319"/>
      <c r="BO215" s="320"/>
      <c r="BP215" s="321"/>
      <c r="BQ215" s="321"/>
      <c r="BR215" s="320"/>
      <c r="BS215" s="321"/>
      <c r="BT215" s="321"/>
      <c r="BU215" s="280">
        <f t="shared" si="39"/>
        <v>0</v>
      </c>
      <c r="BV215" s="322"/>
      <c r="BW215" s="320"/>
      <c r="BX215" s="320"/>
      <c r="BY215" s="320"/>
      <c r="BZ215" s="320"/>
      <c r="CA215" s="320"/>
      <c r="CB215" s="320"/>
      <c r="CC215" s="275">
        <f t="shared" si="40"/>
        <v>0</v>
      </c>
      <c r="CD215" s="98">
        <v>8.6199999999999992</v>
      </c>
      <c r="CE215" s="91">
        <v>13.84</v>
      </c>
      <c r="CF215" s="91">
        <v>11.08</v>
      </c>
      <c r="CG215" s="91">
        <v>8.1</v>
      </c>
      <c r="CH215" s="266">
        <f t="shared" si="41"/>
        <v>93.967517401392115</v>
      </c>
      <c r="CI215" s="320"/>
      <c r="CJ215" s="280">
        <f t="shared" si="42"/>
        <v>85.184866666666665</v>
      </c>
      <c r="CK215" s="83"/>
      <c r="CL215" s="91"/>
      <c r="CM215" s="91"/>
      <c r="CN215" s="91"/>
      <c r="CO215" s="256" t="str">
        <f t="shared" si="43"/>
        <v/>
      </c>
      <c r="CP215" s="320"/>
      <c r="CQ215" s="256">
        <f t="shared" si="44"/>
        <v>0</v>
      </c>
      <c r="CR215" s="256" t="str">
        <f>IF(CO215&lt;'Look Ups'!$AC$4,"Yes","No")</f>
        <v>No</v>
      </c>
      <c r="CS215" s="293">
        <f>IF(CR215="Yes",MIN(150,('Look Ups'!$AC$4-PSCR)/('Look Ups'!$AC$4-'Look Ups'!$AC$3)*100),0)</f>
        <v>0</v>
      </c>
      <c r="CT215" s="83"/>
      <c r="CU215" s="91"/>
      <c r="CV215" s="91"/>
      <c r="CW215" s="91"/>
      <c r="CX215" s="256" t="str">
        <f t="shared" si="45"/>
        <v/>
      </c>
      <c r="CY215" s="293">
        <f>IF(PUSCR&lt;'Look Ups'!$AC$4,MIN(150,('Look Ups'!$AC$4-PUSCR)/('Look Ups'!$AC$4-'Look Ups'!$AC$3)*100),0)</f>
        <v>0</v>
      </c>
      <c r="CZ215" s="275">
        <f>IF(PUSCR&lt;'Look Ups'!$AC$4,USCRF*(USCRL1+USCRL2)/4+(USCRMG-USCRF/2)*(USCRL1+USCRL2)/3,0)</f>
        <v>0</v>
      </c>
      <c r="DA215" s="294">
        <f t="shared" si="46"/>
        <v>1</v>
      </c>
      <c r="DB215" s="256">
        <f t="shared" si="47"/>
        <v>41.205026249999996</v>
      </c>
      <c r="DC215" s="256">
        <f t="shared" si="48"/>
        <v>1</v>
      </c>
      <c r="DD215" s="256">
        <f t="shared" si="49"/>
        <v>19.675248</v>
      </c>
      <c r="DE215" s="256">
        <f>IF(AZ215&gt;0,'Look Ups'!$S$3,0)</f>
        <v>1</v>
      </c>
      <c r="DF215" s="256">
        <f t="shared" si="50"/>
        <v>0</v>
      </c>
      <c r="DG215" s="256">
        <f t="shared" si="51"/>
        <v>0</v>
      </c>
      <c r="DH215" s="256">
        <f t="shared" si="52"/>
        <v>0</v>
      </c>
      <c r="DI215" s="280">
        <f t="shared" si="53"/>
        <v>0</v>
      </c>
      <c r="DJ215" s="295" t="str">
        <f t="shared" si="54"/>
        <v>-</v>
      </c>
      <c r="DK215" s="266" t="str">
        <f t="shared" si="55"/>
        <v>valid</v>
      </c>
      <c r="DL215" s="267" t="str">
        <f t="shared" si="56"/>
        <v>MGSP</v>
      </c>
      <c r="DM215" s="294">
        <f t="shared" si="57"/>
        <v>60.880274249999999</v>
      </c>
      <c r="DN215" s="256">
        <f>IF(MSASP&gt;0,'Look Ups'!$AI$4*(ZVAL*MSASP-RSAG),0)</f>
        <v>19.652885600000001</v>
      </c>
      <c r="DO215" s="256">
        <f>IF(AND(MSASC&gt;0,(MSASC&gt;=0.36*RSAM)),('Look Ups'!$AI$3*(ZVAL*MSASC-RSAG)),(0))</f>
        <v>0</v>
      </c>
      <c r="DP215" s="256">
        <f>IF(MSASP&gt;0,'Look Ups'!$AI$5*(ZVAL*MSASP-RSAG),0)</f>
        <v>18.342693226666668</v>
      </c>
      <c r="DQ215" s="256">
        <f>IF(MSASC&gt;0,'Look Ups'!$AI$6*(MSASC-RSAG),0)</f>
        <v>0</v>
      </c>
      <c r="DR215" s="280">
        <f>'Look Ups'!$AI$7*MAX(IF(MSAUSC&gt;0,EUSC/100*(MSAUSC-RSAG),0),IF(CR215="Yes",ELSC/100*(MSASC-RSAG),0))</f>
        <v>0</v>
      </c>
      <c r="DS215" s="280">
        <f t="shared" si="58"/>
        <v>14.833809449999999</v>
      </c>
      <c r="DT215" s="296">
        <f t="shared" si="59"/>
        <v>80.533159850000004</v>
      </c>
      <c r="DU215" s="27"/>
    </row>
    <row r="216" spans="1:125" ht="15.6" customHeight="1" x14ac:dyDescent="0.3">
      <c r="A216" s="4"/>
      <c r="B216" s="365"/>
      <c r="C216" s="369" t="s">
        <v>768</v>
      </c>
      <c r="D216" s="370" t="s">
        <v>319</v>
      </c>
      <c r="E216" s="371" t="s">
        <v>769</v>
      </c>
      <c r="F216" s="252">
        <f t="shared" ca="1" si="30"/>
        <v>1.0109999999999999</v>
      </c>
      <c r="G216" s="252" t="str">
        <f ca="1">IF(OR(FLSCR="ERROR",FLSPI="ERROR"),"No",IF(TODAY()-'Look Ups'!$D$4*365&gt;I216,"WP Applied","Yes"))</f>
        <v>WP Applied</v>
      </c>
      <c r="H216" s="253" t="str">
        <f t="shared" si="31"/>
        <v>Main-Genoa-Spinnaker</v>
      </c>
      <c r="I216" s="1">
        <v>39927</v>
      </c>
      <c r="J216" s="1">
        <v>41029</v>
      </c>
      <c r="K216" s="87" t="s">
        <v>218</v>
      </c>
      <c r="L216" s="87" t="s">
        <v>159</v>
      </c>
      <c r="M216" s="207"/>
      <c r="N216" s="88" t="s">
        <v>165</v>
      </c>
      <c r="O216" s="88"/>
      <c r="P216" s="89"/>
      <c r="Q216" s="90">
        <v>8.52</v>
      </c>
      <c r="R216" s="87"/>
      <c r="S216" s="256">
        <f t="shared" si="32"/>
        <v>0.21299999999999999</v>
      </c>
      <c r="T216" s="117">
        <v>0.02</v>
      </c>
      <c r="U216" s="117"/>
      <c r="V216" s="258">
        <f t="shared" si="33"/>
        <v>8.5</v>
      </c>
      <c r="W216" s="259">
        <f>IF(RL&gt;0,IF(RL&gt;'Look Ups'!Y$7,'Look Ups'!Y$8,('Look Ups'!Y$3*RL^3+'Look Ups'!Y$4*RL^2+'Look Ups'!Y$5*RL+'Look Ups'!Y$6)),0)</f>
        <v>0.29536612500000003</v>
      </c>
      <c r="X216" s="92">
        <v>1140</v>
      </c>
      <c r="Y216" s="263">
        <f ca="1">IF(WDATE&lt;(TODAY()-'Look Ups'!$D$4*365),-WM*'Look Ups'!$D$5/100,0)</f>
        <v>-171</v>
      </c>
      <c r="Z216" s="103"/>
      <c r="AA216" s="109"/>
      <c r="AB216" s="109"/>
      <c r="AC216" s="265">
        <f>WCD+NC*'Look Ups'!$AF$3</f>
        <v>0</v>
      </c>
      <c r="AD216" s="265">
        <f ca="1">IF(RL&lt;'Look Ups'!AM$3,'Look Ups'!AM$4,IF(RL&gt;'Look Ups'!AM$5,'Look Ups'!AM$6,(RL-'Look Ups'!AM$3)/('Look Ups'!AM$5-'Look Ups'!AM$3)*('Look Ups'!AM$6-'Look Ups'!AM$4)+'Look Ups'!AM$4))/100*WS</f>
        <v>227.27454545454543</v>
      </c>
      <c r="AE216" s="269">
        <f t="shared" ca="1" si="34"/>
        <v>969</v>
      </c>
      <c r="AF216" s="267">
        <f t="shared" ca="1" si="35"/>
        <v>969</v>
      </c>
      <c r="AG216" s="94" t="s">
        <v>145</v>
      </c>
      <c r="AH216" s="95" t="s">
        <v>146</v>
      </c>
      <c r="AI216" s="96" t="s">
        <v>147</v>
      </c>
      <c r="AJ216" s="218"/>
      <c r="AK216" s="273">
        <f>IF(C216="",0,VLOOKUP(AG216,'Look Ups'!$F$3:$G$6,2,0)*VLOOKUP(AH216,'Look Ups'!$I$3:$J$5,2,0)*VLOOKUP(AI216,'Look Ups'!$L$3:$M$7,2,0)*IF(AJ216="",1,VLOOKUP(AJ216,'Look Ups'!$O$3:$P$4,2,0)))</f>
        <v>1</v>
      </c>
      <c r="AL216" s="83">
        <v>12.74</v>
      </c>
      <c r="AM216" s="91">
        <v>12.52</v>
      </c>
      <c r="AN216" s="91">
        <v>3.84</v>
      </c>
      <c r="AO216" s="91">
        <v>1.2</v>
      </c>
      <c r="AP216" s="91">
        <v>0.5</v>
      </c>
      <c r="AQ216" s="91">
        <v>12.57</v>
      </c>
      <c r="AR216" s="91">
        <v>0.21</v>
      </c>
      <c r="AS216" s="91">
        <v>3.9</v>
      </c>
      <c r="AT216" s="91">
        <v>0.09</v>
      </c>
      <c r="AU216" s="91">
        <v>0.42</v>
      </c>
      <c r="AV216" s="91" t="s">
        <v>148</v>
      </c>
      <c r="AW216" s="97"/>
      <c r="AX216" s="256">
        <f t="shared" si="36"/>
        <v>12.66</v>
      </c>
      <c r="AY216" s="256">
        <f t="shared" si="37"/>
        <v>1.9797750000000001</v>
      </c>
      <c r="AZ216" s="275">
        <f>IF(C216="",0,(0.5*(_ML1*LPM)+0.5*(_ML1*HB)+0.66*(P*PR)+0.66*(_ML2*RDM)+0.66*(E*ER))*VLOOKUP(BATT,'Look Ups'!$U$3:$V$4,2,0))</f>
        <v>38.210261999999993</v>
      </c>
      <c r="BA216" s="98"/>
      <c r="BB216" s="99"/>
      <c r="BC216" s="83">
        <v>8.44</v>
      </c>
      <c r="BD216" s="91">
        <v>2.48</v>
      </c>
      <c r="BE216" s="91">
        <v>2.54</v>
      </c>
      <c r="BF216" s="91">
        <v>0.14000000000000001</v>
      </c>
      <c r="BG216" s="91">
        <v>8.06</v>
      </c>
      <c r="BH216" s="91">
        <v>8.06</v>
      </c>
      <c r="BI216" s="91">
        <v>0.48</v>
      </c>
      <c r="BJ216" s="91">
        <v>0</v>
      </c>
      <c r="BK216" s="91">
        <v>0.04</v>
      </c>
      <c r="BL216" s="97"/>
      <c r="BM216" s="275">
        <f t="shared" si="38"/>
        <v>12.857511999999998</v>
      </c>
      <c r="BN216" s="319"/>
      <c r="BO216" s="320"/>
      <c r="BP216" s="321"/>
      <c r="BQ216" s="321"/>
      <c r="BR216" s="320"/>
      <c r="BS216" s="321"/>
      <c r="BT216" s="321"/>
      <c r="BU216" s="280">
        <f t="shared" si="39"/>
        <v>0</v>
      </c>
      <c r="BV216" s="322"/>
      <c r="BW216" s="320"/>
      <c r="BX216" s="320"/>
      <c r="BY216" s="320"/>
      <c r="BZ216" s="320"/>
      <c r="CA216" s="320"/>
      <c r="CB216" s="320"/>
      <c r="CC216" s="275">
        <f t="shared" si="40"/>
        <v>0</v>
      </c>
      <c r="CD216" s="98">
        <v>6.95</v>
      </c>
      <c r="CE216" s="91">
        <v>14.1</v>
      </c>
      <c r="CF216" s="91">
        <v>12.46</v>
      </c>
      <c r="CG216" s="91">
        <v>5.24</v>
      </c>
      <c r="CH216" s="266">
        <f t="shared" si="41"/>
        <v>75.39568345323741</v>
      </c>
      <c r="CI216" s="320"/>
      <c r="CJ216" s="280">
        <f t="shared" si="42"/>
        <v>61.774133333333339</v>
      </c>
      <c r="CK216" s="83"/>
      <c r="CL216" s="91"/>
      <c r="CM216" s="91"/>
      <c r="CN216" s="91"/>
      <c r="CO216" s="256" t="str">
        <f t="shared" si="43"/>
        <v/>
      </c>
      <c r="CP216" s="320"/>
      <c r="CQ216" s="256">
        <f t="shared" si="44"/>
        <v>0</v>
      </c>
      <c r="CR216" s="256" t="str">
        <f>IF(CO216&lt;'Look Ups'!$AC$4,"Yes","No")</f>
        <v>No</v>
      </c>
      <c r="CS216" s="293">
        <f>IF(CR216="Yes",MIN(150,('Look Ups'!$AC$4-PSCR)/('Look Ups'!$AC$4-'Look Ups'!$AC$3)*100),0)</f>
        <v>0</v>
      </c>
      <c r="CT216" s="83"/>
      <c r="CU216" s="91"/>
      <c r="CV216" s="91"/>
      <c r="CW216" s="91"/>
      <c r="CX216" s="256" t="str">
        <f t="shared" si="45"/>
        <v/>
      </c>
      <c r="CY216" s="293">
        <f>IF(PUSCR&lt;'Look Ups'!$AC$4,MIN(150,('Look Ups'!$AC$4-PUSCR)/('Look Ups'!$AC$4-'Look Ups'!$AC$3)*100),0)</f>
        <v>0</v>
      </c>
      <c r="CZ216" s="275">
        <f>IF(PUSCR&lt;'Look Ups'!$AC$4,USCRF*(USCRL1+USCRL2)/4+(USCRMG-USCRF/2)*(USCRL1+USCRL2)/3,0)</f>
        <v>0</v>
      </c>
      <c r="DA216" s="294">
        <f t="shared" si="46"/>
        <v>1</v>
      </c>
      <c r="DB216" s="256">
        <f t="shared" si="47"/>
        <v>40.19003699999999</v>
      </c>
      <c r="DC216" s="256">
        <f t="shared" si="48"/>
        <v>1</v>
      </c>
      <c r="DD216" s="256">
        <f t="shared" si="49"/>
        <v>12.857511999999998</v>
      </c>
      <c r="DE216" s="256">
        <f>IF(AZ216&gt;0,'Look Ups'!$S$3,0)</f>
        <v>1</v>
      </c>
      <c r="DF216" s="256">
        <f t="shared" si="50"/>
        <v>0</v>
      </c>
      <c r="DG216" s="256">
        <f t="shared" si="51"/>
        <v>0</v>
      </c>
      <c r="DH216" s="256">
        <f t="shared" si="52"/>
        <v>0</v>
      </c>
      <c r="DI216" s="280">
        <f t="shared" si="53"/>
        <v>0</v>
      </c>
      <c r="DJ216" s="295" t="str">
        <f t="shared" si="54"/>
        <v>-</v>
      </c>
      <c r="DK216" s="266" t="str">
        <f t="shared" si="55"/>
        <v>valid</v>
      </c>
      <c r="DL216" s="267" t="str">
        <f t="shared" si="56"/>
        <v>MGSP</v>
      </c>
      <c r="DM216" s="294">
        <f t="shared" si="57"/>
        <v>53.047548999999989</v>
      </c>
      <c r="DN216" s="256">
        <f>IF(MSASP&gt;0,'Look Ups'!$AI$4*(ZVAL*MSASP-RSAG),0)</f>
        <v>14.674986400000002</v>
      </c>
      <c r="DO216" s="256">
        <f>IF(AND(MSASC&gt;0,(MSASC&gt;=0.36*RSAM)),('Look Ups'!$AI$3*(ZVAL*MSASC-RSAG)),(0))</f>
        <v>0</v>
      </c>
      <c r="DP216" s="256">
        <f>IF(MSASP&gt;0,'Look Ups'!$AI$5*(ZVAL*MSASP-RSAG),0)</f>
        <v>13.696653973333337</v>
      </c>
      <c r="DQ216" s="256">
        <f>IF(MSASC&gt;0,'Look Ups'!$AI$6*(MSASC-RSAG),0)</f>
        <v>0</v>
      </c>
      <c r="DR216" s="280">
        <f>'Look Ups'!$AI$7*MAX(IF(MSAUSC&gt;0,EUSC/100*(MSAUSC-RSAG),0),IF(CR216="Yes",ELSC/100*(MSASC-RSAG),0))</f>
        <v>0</v>
      </c>
      <c r="DS216" s="280">
        <f t="shared" si="58"/>
        <v>14.468413319999996</v>
      </c>
      <c r="DT216" s="296">
        <f t="shared" si="59"/>
        <v>67.722535399999998</v>
      </c>
      <c r="DU216" s="14"/>
    </row>
    <row r="217" spans="1:125" ht="15.6" customHeight="1" x14ac:dyDescent="0.3">
      <c r="A217" s="4"/>
      <c r="B217" s="365"/>
      <c r="C217" s="369" t="s">
        <v>770</v>
      </c>
      <c r="D217" s="370" t="s">
        <v>771</v>
      </c>
      <c r="E217" s="371" t="s">
        <v>772</v>
      </c>
      <c r="F217" s="252">
        <f t="shared" ca="1" si="30"/>
        <v>1.2889999999999999</v>
      </c>
      <c r="G217" s="252" t="str">
        <f ca="1">IF(OR(FLSCR="ERROR",FLSPI="ERROR"),"No",IF(TODAY()-'Look Ups'!$D$4*365&gt;I217,"WP Applied","Yes"))</f>
        <v>WP Applied</v>
      </c>
      <c r="H217" s="253" t="str">
        <f t="shared" si="31"/>
        <v>Main-Genoa-Screacher (Upwind)-Spinnaker</v>
      </c>
      <c r="I217" s="1">
        <v>36932</v>
      </c>
      <c r="J217" s="1"/>
      <c r="K217" s="87" t="s">
        <v>773</v>
      </c>
      <c r="L217" s="87" t="s">
        <v>641</v>
      </c>
      <c r="M217" s="207"/>
      <c r="N217" s="88" t="s">
        <v>774</v>
      </c>
      <c r="O217" s="88"/>
      <c r="P217" s="89">
        <v>5</v>
      </c>
      <c r="Q217" s="90">
        <v>8.33</v>
      </c>
      <c r="R217" s="87"/>
      <c r="S217" s="256">
        <f t="shared" si="32"/>
        <v>0.20825000000000002</v>
      </c>
      <c r="T217" s="117">
        <v>7.0000000000000007E-2</v>
      </c>
      <c r="U217" s="117">
        <v>0</v>
      </c>
      <c r="V217" s="258">
        <f t="shared" si="33"/>
        <v>8.26</v>
      </c>
      <c r="W217" s="259">
        <f>IF(RL&gt;0,IF(RL&gt;'Look Ups'!Y$7,'Look Ups'!Y$8,('Look Ups'!Y$3*RL^3+'Look Ups'!Y$4*RL^2+'Look Ups'!Y$5*RL+'Look Ups'!Y$6)),0)</f>
        <v>0.294648839208</v>
      </c>
      <c r="X217" s="92">
        <v>543</v>
      </c>
      <c r="Y217" s="263">
        <f ca="1">IF(WDATE&lt;(TODAY()-'Look Ups'!$D$4*365),-WM*'Look Ups'!$D$5/100,0)</f>
        <v>-81.45</v>
      </c>
      <c r="Z217" s="103"/>
      <c r="AA217" s="109"/>
      <c r="AB217" s="109"/>
      <c r="AC217" s="265">
        <f>WCD+NC*'Look Ups'!$AF$3</f>
        <v>0</v>
      </c>
      <c r="AD217" s="265">
        <f ca="1">IF(RL&lt;'Look Ups'!AM$3,'Look Ups'!AM$4,IF(RL&gt;'Look Ups'!AM$5,'Look Ups'!AM$6,(RL-'Look Ups'!AM$3)/('Look Ups'!AM$5-'Look Ups'!AM$3)*('Look Ups'!AM$6-'Look Ups'!AM$4)+'Look Ups'!AM$4))/100*WS</f>
        <v>112.28252727272728</v>
      </c>
      <c r="AE217" s="269">
        <f t="shared" ca="1" si="34"/>
        <v>461.55</v>
      </c>
      <c r="AF217" s="267">
        <f t="shared" ca="1" si="35"/>
        <v>461.55</v>
      </c>
      <c r="AG217" s="94" t="s">
        <v>145</v>
      </c>
      <c r="AH217" s="95" t="s">
        <v>146</v>
      </c>
      <c r="AI217" s="96" t="s">
        <v>147</v>
      </c>
      <c r="AJ217" s="218"/>
      <c r="AK217" s="273">
        <f>IF(C217="",0,VLOOKUP(AG217,'Look Ups'!$F$3:$G$6,2,0)*VLOOKUP(AH217,'Look Ups'!$I$3:$J$5,2,0)*VLOOKUP(AI217,'Look Ups'!$L$3:$M$7,2,0)*IF(AJ217="",1,VLOOKUP(AJ217,'Look Ups'!$O$3:$P$4,2,0)))</f>
        <v>1</v>
      </c>
      <c r="AL217" s="83">
        <v>11.5</v>
      </c>
      <c r="AM217" s="91">
        <v>11.14</v>
      </c>
      <c r="AN217" s="91">
        <v>3.69</v>
      </c>
      <c r="AO217" s="91">
        <v>0.86</v>
      </c>
      <c r="AP217" s="91">
        <v>0.78</v>
      </c>
      <c r="AQ217" s="91">
        <v>11.68</v>
      </c>
      <c r="AR217" s="91">
        <v>0.11</v>
      </c>
      <c r="AS217" s="91">
        <v>3.73</v>
      </c>
      <c r="AT217" s="91">
        <v>0</v>
      </c>
      <c r="AU217" s="91">
        <v>0</v>
      </c>
      <c r="AV217" s="91" t="s">
        <v>148</v>
      </c>
      <c r="AW217" s="97">
        <v>0</v>
      </c>
      <c r="AX217" s="256">
        <f t="shared" si="36"/>
        <v>11.68</v>
      </c>
      <c r="AY217" s="256">
        <f t="shared" si="37"/>
        <v>0</v>
      </c>
      <c r="AZ217" s="275">
        <f>IF(C217="",0,(0.5*(_ML1*LPM)+0.5*(_ML1*HB)+0.66*(P*PR)+0.66*(_ML2*RDM)+0.66*(E*ER))*VLOOKUP(BATT,'Look Ups'!$U$3:$V$4,2,0))</f>
        <v>32.745340000000006</v>
      </c>
      <c r="BA217" s="98"/>
      <c r="BB217" s="99"/>
      <c r="BC217" s="83">
        <v>9.68</v>
      </c>
      <c r="BD217" s="91">
        <v>2.71</v>
      </c>
      <c r="BE217" s="91">
        <v>2.87</v>
      </c>
      <c r="BF217" s="91">
        <v>0.14000000000000001</v>
      </c>
      <c r="BG217" s="91">
        <v>9.2200000000000006</v>
      </c>
      <c r="BH217" s="91"/>
      <c r="BI217" s="91"/>
      <c r="BJ217" s="91">
        <v>0.35</v>
      </c>
      <c r="BK217" s="91">
        <v>-0.08</v>
      </c>
      <c r="BL217" s="97"/>
      <c r="BM217" s="275">
        <f t="shared" si="38"/>
        <v>15.000304</v>
      </c>
      <c r="BN217" s="319"/>
      <c r="BO217" s="320"/>
      <c r="BP217" s="321"/>
      <c r="BQ217" s="321"/>
      <c r="BR217" s="320"/>
      <c r="BS217" s="321"/>
      <c r="BT217" s="321"/>
      <c r="BU217" s="280">
        <f t="shared" si="39"/>
        <v>0</v>
      </c>
      <c r="BV217" s="322"/>
      <c r="BW217" s="320"/>
      <c r="BX217" s="320"/>
      <c r="BY217" s="320"/>
      <c r="BZ217" s="320"/>
      <c r="CA217" s="320"/>
      <c r="CB217" s="320"/>
      <c r="CC217" s="275">
        <f t="shared" si="40"/>
        <v>0</v>
      </c>
      <c r="CD217" s="98">
        <v>7.76</v>
      </c>
      <c r="CE217" s="91">
        <v>14.87</v>
      </c>
      <c r="CF217" s="91">
        <v>12.82</v>
      </c>
      <c r="CG217" s="91">
        <v>7.2</v>
      </c>
      <c r="CH217" s="266">
        <f t="shared" si="41"/>
        <v>92.783505154639172</v>
      </c>
      <c r="CI217" s="320"/>
      <c r="CJ217" s="280">
        <f t="shared" si="42"/>
        <v>84.362200000000001</v>
      </c>
      <c r="CK217" s="83">
        <v>6.43</v>
      </c>
      <c r="CL217" s="91">
        <v>11.22</v>
      </c>
      <c r="CM217" s="91">
        <v>9.3000000000000007</v>
      </c>
      <c r="CN217" s="91">
        <v>3.25</v>
      </c>
      <c r="CO217" s="256">
        <f t="shared" si="43"/>
        <v>50.544323483670297</v>
      </c>
      <c r="CP217" s="320"/>
      <c r="CQ217" s="256">
        <f t="shared" si="44"/>
        <v>33.225300000000004</v>
      </c>
      <c r="CR217" s="256" t="str">
        <f>IF(CO217&lt;'Look Ups'!$AC$4,"Yes","No")</f>
        <v>Yes</v>
      </c>
      <c r="CS217" s="293">
        <f>IF(CR217="Yes",MIN(150,('Look Ups'!$AC$4-PSCR)/('Look Ups'!$AC$4-'Look Ups'!$AC$3)*100),0)</f>
        <v>29.113530326594063</v>
      </c>
      <c r="CT217" s="83"/>
      <c r="CU217" s="91"/>
      <c r="CV217" s="91"/>
      <c r="CW217" s="91"/>
      <c r="CX217" s="256" t="str">
        <f t="shared" si="45"/>
        <v/>
      </c>
      <c r="CY217" s="293">
        <f>IF(PUSCR&lt;'Look Ups'!$AC$4,MIN(150,('Look Ups'!$AC$4-PUSCR)/('Look Ups'!$AC$4-'Look Ups'!$AC$3)*100),0)</f>
        <v>0</v>
      </c>
      <c r="CZ217" s="275">
        <f>IF(PUSCR&lt;'Look Ups'!$AC$4,USCRF*(USCRL1+USCRL2)/4+(USCRMG-USCRF/2)*(USCRL1+USCRL2)/3,0)</f>
        <v>0</v>
      </c>
      <c r="DA217" s="294">
        <f t="shared" si="46"/>
        <v>1</v>
      </c>
      <c r="DB217" s="256">
        <f t="shared" si="47"/>
        <v>32.745340000000006</v>
      </c>
      <c r="DC217" s="256">
        <f t="shared" si="48"/>
        <v>1</v>
      </c>
      <c r="DD217" s="256">
        <f t="shared" si="49"/>
        <v>15.000304</v>
      </c>
      <c r="DE217" s="256">
        <f>IF(AZ217&gt;0,'Look Ups'!$S$3,0)</f>
        <v>1</v>
      </c>
      <c r="DF217" s="256">
        <f t="shared" si="50"/>
        <v>0</v>
      </c>
      <c r="DG217" s="256">
        <f t="shared" si="51"/>
        <v>0</v>
      </c>
      <c r="DH217" s="256">
        <f t="shared" si="52"/>
        <v>0</v>
      </c>
      <c r="DI217" s="280">
        <f t="shared" si="53"/>
        <v>0</v>
      </c>
      <c r="DJ217" s="295" t="str">
        <f t="shared" si="54"/>
        <v>valid</v>
      </c>
      <c r="DK217" s="266" t="str">
        <f t="shared" si="55"/>
        <v>valid</v>
      </c>
      <c r="DL217" s="267" t="str">
        <f t="shared" si="56"/>
        <v>MGScrSP</v>
      </c>
      <c r="DM217" s="294">
        <f t="shared" si="57"/>
        <v>47.745644000000006</v>
      </c>
      <c r="DN217" s="256">
        <f>IF(MSASP&gt;0,'Look Ups'!$AI$4*(ZVAL*MSASP-RSAG),0)</f>
        <v>20.8085688</v>
      </c>
      <c r="DO217" s="256">
        <f>IF(AND(MSASC&gt;0,(MSASC&gt;=0.36*RSAM)),('Look Ups'!$AI$3*(ZVAL*MSASC-RSAG)),(0))</f>
        <v>6.3787486000000015</v>
      </c>
      <c r="DP217" s="256">
        <f>IF(MSASP&gt;0,'Look Ups'!$AI$5*(ZVAL*MSASP-RSAG),0)</f>
        <v>19.421330880000003</v>
      </c>
      <c r="DQ217" s="256">
        <f>IF(MSASC&gt;0,'Look Ups'!$AI$6*(MSASC-RSAG),0)</f>
        <v>1.2757497200000005</v>
      </c>
      <c r="DR217" s="280">
        <f>'Look Ups'!$AI$7*MAX(IF(MSAUSC&gt;0,EUSC/100*(MSAUSC-RSAG),0),IF(CR217="Yes",ELSC/100*(MSASC-RSAG),0))</f>
        <v>1.326484934370139</v>
      </c>
      <c r="DS217" s="280">
        <f t="shared" si="58"/>
        <v>11.788322400000002</v>
      </c>
      <c r="DT217" s="296">
        <f t="shared" si="59"/>
        <v>69.769209534370162</v>
      </c>
      <c r="DU217" s="14"/>
    </row>
    <row r="218" spans="1:125" ht="15.6" customHeight="1" x14ac:dyDescent="0.3">
      <c r="A218" s="4"/>
      <c r="B218" s="365"/>
      <c r="C218" s="369" t="s">
        <v>775</v>
      </c>
      <c r="D218" s="370" t="s">
        <v>370</v>
      </c>
      <c r="E218" s="371" t="s">
        <v>702</v>
      </c>
      <c r="F218" s="252">
        <f t="shared" ca="1" si="30"/>
        <v>0.89800000000000002</v>
      </c>
      <c r="G218" s="252" t="str">
        <f ca="1">IF(OR(FLSCR="ERROR",FLSPI="ERROR"),"No",IF(TODAY()-'Look Ups'!$D$4*365&gt;I218,"WP Applied","Yes"))</f>
        <v>WP Applied</v>
      </c>
      <c r="H218" s="253" t="str">
        <f t="shared" si="31"/>
        <v>Main-Genoa-Spinnaker</v>
      </c>
      <c r="I218" s="1">
        <v>39277</v>
      </c>
      <c r="J218" s="1"/>
      <c r="K218" s="87" t="s">
        <v>640</v>
      </c>
      <c r="L218" s="87" t="s">
        <v>671</v>
      </c>
      <c r="M218" s="207"/>
      <c r="N218" s="88" t="s">
        <v>165</v>
      </c>
      <c r="O218" s="88"/>
      <c r="P218" s="89"/>
      <c r="Q218" s="90">
        <v>9.2799999999999994</v>
      </c>
      <c r="R218" s="87"/>
      <c r="S218" s="256">
        <f t="shared" si="32"/>
        <v>0.23199999999999998</v>
      </c>
      <c r="T218" s="117">
        <v>0.28000000000000003</v>
      </c>
      <c r="U218" s="117">
        <v>0</v>
      </c>
      <c r="V218" s="258">
        <f t="shared" si="33"/>
        <v>9</v>
      </c>
      <c r="W218" s="259">
        <f>IF(RL&gt;0,IF(RL&gt;'Look Ups'!Y$7,'Look Ups'!Y$8,('Look Ups'!Y$3*RL^3+'Look Ups'!Y$4*RL^2+'Look Ups'!Y$5*RL+'Look Ups'!Y$6)),0)</f>
        <v>0.296657</v>
      </c>
      <c r="X218" s="92">
        <v>1830</v>
      </c>
      <c r="Y218" s="263">
        <f ca="1">IF(WDATE&lt;(TODAY()-'Look Ups'!$D$4*365),-WM*'Look Ups'!$D$5/100,0)</f>
        <v>-274.5</v>
      </c>
      <c r="Z218" s="103"/>
      <c r="AA218" s="109"/>
      <c r="AB218" s="109"/>
      <c r="AC218" s="265">
        <f>WCD+NC*'Look Ups'!$AF$3</f>
        <v>0</v>
      </c>
      <c r="AD218" s="265">
        <f ca="1">IF(RL&lt;'Look Ups'!AM$3,'Look Ups'!AM$4,IF(RL&gt;'Look Ups'!AM$5,'Look Ups'!AM$6,(RL-'Look Ups'!AM$3)/('Look Ups'!AM$5-'Look Ups'!AM$3)*('Look Ups'!AM$6-'Look Ups'!AM$4)+'Look Ups'!AM$4))/100*WS</f>
        <v>336.55363636363637</v>
      </c>
      <c r="AE218" s="269">
        <f t="shared" ca="1" si="34"/>
        <v>1555.5</v>
      </c>
      <c r="AF218" s="267">
        <f t="shared" ca="1" si="35"/>
        <v>1555.5</v>
      </c>
      <c r="AG218" s="94" t="s">
        <v>145</v>
      </c>
      <c r="AH218" s="95" t="s">
        <v>146</v>
      </c>
      <c r="AI218" s="96" t="s">
        <v>147</v>
      </c>
      <c r="AJ218" s="218"/>
      <c r="AK218" s="273">
        <f>IF(C218="",0,VLOOKUP(AG218,'Look Ups'!$F$3:$G$6,2,0)*VLOOKUP(AH218,'Look Ups'!$I$3:$J$5,2,0)*VLOOKUP(AI218,'Look Ups'!$L$3:$M$7,2,0)*IF(AJ218="",1,VLOOKUP(AJ218,'Look Ups'!$O$3:$P$4,2,0)))</f>
        <v>1</v>
      </c>
      <c r="AL218" s="83">
        <v>11.98</v>
      </c>
      <c r="AM218" s="91">
        <v>11.87</v>
      </c>
      <c r="AN218" s="91">
        <v>3.67</v>
      </c>
      <c r="AO218" s="91">
        <v>0.79</v>
      </c>
      <c r="AP218" s="91">
        <v>0.57000000000000006</v>
      </c>
      <c r="AQ218" s="91">
        <v>12.23</v>
      </c>
      <c r="AR218" s="91">
        <v>0.13</v>
      </c>
      <c r="AS218" s="91">
        <v>3.69</v>
      </c>
      <c r="AT218" s="91">
        <v>0.85</v>
      </c>
      <c r="AU218" s="91"/>
      <c r="AV218" s="91" t="s">
        <v>148</v>
      </c>
      <c r="AW218" s="97">
        <v>0</v>
      </c>
      <c r="AX218" s="256">
        <f t="shared" si="36"/>
        <v>13.08</v>
      </c>
      <c r="AY218" s="256">
        <f t="shared" si="37"/>
        <v>0</v>
      </c>
      <c r="AZ218" s="275">
        <f>IF(C218="",0,(0.5*(_ML1*LPM)+0.5*(_ML1*HB)+0.66*(P*PR)+0.66*(_ML2*RDM)+0.66*(E*ER))*VLOOKUP(BATT,'Look Ups'!$U$3:$V$4,2,0))</f>
        <v>34.300318000000004</v>
      </c>
      <c r="BA218" s="98"/>
      <c r="BB218" s="99"/>
      <c r="BC218" s="83">
        <v>10.4</v>
      </c>
      <c r="BD218" s="91">
        <v>3.77</v>
      </c>
      <c r="BE218" s="91">
        <v>4.04</v>
      </c>
      <c r="BF218" s="91">
        <v>0.13</v>
      </c>
      <c r="BG218" s="91">
        <v>9.6</v>
      </c>
      <c r="BH218" s="91"/>
      <c r="BI218" s="91"/>
      <c r="BJ218" s="91">
        <v>-0.32</v>
      </c>
      <c r="BK218" s="91">
        <v>0.06</v>
      </c>
      <c r="BL218" s="97">
        <v>0</v>
      </c>
      <c r="BM218" s="275">
        <f t="shared" si="38"/>
        <v>18.334952000000001</v>
      </c>
      <c r="BN218" s="319"/>
      <c r="BO218" s="320"/>
      <c r="BP218" s="321"/>
      <c r="BQ218" s="321"/>
      <c r="BR218" s="320"/>
      <c r="BS218" s="321"/>
      <c r="BT218" s="321"/>
      <c r="BU218" s="280">
        <f t="shared" si="39"/>
        <v>0</v>
      </c>
      <c r="BV218" s="322"/>
      <c r="BW218" s="320"/>
      <c r="BX218" s="320"/>
      <c r="BY218" s="320"/>
      <c r="BZ218" s="320"/>
      <c r="CA218" s="320"/>
      <c r="CB218" s="320"/>
      <c r="CC218" s="275">
        <f t="shared" si="40"/>
        <v>0</v>
      </c>
      <c r="CD218" s="98">
        <v>7.86</v>
      </c>
      <c r="CE218" s="91">
        <v>14.75</v>
      </c>
      <c r="CF218" s="91">
        <v>11.95</v>
      </c>
      <c r="CG218" s="91">
        <v>6.78</v>
      </c>
      <c r="CH218" s="266">
        <f t="shared" si="41"/>
        <v>86.25954198473282</v>
      </c>
      <c r="CI218" s="320"/>
      <c r="CJ218" s="280">
        <f t="shared" si="42"/>
        <v>77.830500000000001</v>
      </c>
      <c r="CK218" s="83"/>
      <c r="CL218" s="91"/>
      <c r="CM218" s="91"/>
      <c r="CN218" s="91"/>
      <c r="CO218" s="256" t="str">
        <f t="shared" si="43"/>
        <v/>
      </c>
      <c r="CP218" s="320"/>
      <c r="CQ218" s="256">
        <f t="shared" si="44"/>
        <v>0</v>
      </c>
      <c r="CR218" s="256" t="str">
        <f>IF(CO218&lt;'Look Ups'!$AC$4,"Yes","No")</f>
        <v>No</v>
      </c>
      <c r="CS218" s="293">
        <f>IF(CR218="Yes",MIN(150,('Look Ups'!$AC$4-PSCR)/('Look Ups'!$AC$4-'Look Ups'!$AC$3)*100),0)</f>
        <v>0</v>
      </c>
      <c r="CT218" s="83"/>
      <c r="CU218" s="91"/>
      <c r="CV218" s="91"/>
      <c r="CW218" s="91"/>
      <c r="CX218" s="256" t="str">
        <f t="shared" si="45"/>
        <v/>
      </c>
      <c r="CY218" s="293">
        <f>IF(PUSCR&lt;'Look Ups'!$AC$4,MIN(150,('Look Ups'!$AC$4-PUSCR)/('Look Ups'!$AC$4-'Look Ups'!$AC$3)*100),0)</f>
        <v>0</v>
      </c>
      <c r="CZ218" s="275">
        <f>IF(PUSCR&lt;'Look Ups'!$AC$4,USCRF*(USCRL1+USCRL2)/4+(USCRMG-USCRF/2)*(USCRL1+USCRL2)/3,0)</f>
        <v>0</v>
      </c>
      <c r="DA218" s="294">
        <f t="shared" si="46"/>
        <v>1</v>
      </c>
      <c r="DB218" s="256">
        <f t="shared" si="47"/>
        <v>34.300318000000004</v>
      </c>
      <c r="DC218" s="256">
        <f t="shared" si="48"/>
        <v>1</v>
      </c>
      <c r="DD218" s="256">
        <f t="shared" si="49"/>
        <v>18.334952000000001</v>
      </c>
      <c r="DE218" s="256">
        <f>IF(AZ218&gt;0,'Look Ups'!$S$3,0)</f>
        <v>1</v>
      </c>
      <c r="DF218" s="256">
        <f t="shared" si="50"/>
        <v>0</v>
      </c>
      <c r="DG218" s="256">
        <f t="shared" si="51"/>
        <v>0</v>
      </c>
      <c r="DH218" s="256">
        <f t="shared" si="52"/>
        <v>0</v>
      </c>
      <c r="DI218" s="280">
        <f t="shared" si="53"/>
        <v>0</v>
      </c>
      <c r="DJ218" s="295" t="str">
        <f t="shared" si="54"/>
        <v>-</v>
      </c>
      <c r="DK218" s="266" t="str">
        <f t="shared" si="55"/>
        <v>valid</v>
      </c>
      <c r="DL218" s="267" t="str">
        <f t="shared" si="56"/>
        <v>MGSP</v>
      </c>
      <c r="DM218" s="294">
        <f t="shared" si="57"/>
        <v>52.635270000000006</v>
      </c>
      <c r="DN218" s="256">
        <f>IF(MSASP&gt;0,'Look Ups'!$AI$4*(ZVAL*MSASP-RSAG),0)</f>
        <v>17.848664400000001</v>
      </c>
      <c r="DO218" s="256">
        <f>IF(AND(MSASC&gt;0,(MSASC&gt;=0.36*RSAM)),('Look Ups'!$AI$3*(ZVAL*MSASC-RSAG)),(0))</f>
        <v>0</v>
      </c>
      <c r="DP218" s="256">
        <f>IF(MSASP&gt;0,'Look Ups'!$AI$5*(ZVAL*MSASP-RSAG),0)</f>
        <v>16.658753440000002</v>
      </c>
      <c r="DQ218" s="256">
        <f>IF(MSASC&gt;0,'Look Ups'!$AI$6*(MSASC-RSAG),0)</f>
        <v>0</v>
      </c>
      <c r="DR218" s="280">
        <f>'Look Ups'!$AI$7*MAX(IF(MSAUSC&gt;0,EUSC/100*(MSAUSC-RSAG),0),IF(CR218="Yes",ELSC/100*(MSASC-RSAG),0))</f>
        <v>0</v>
      </c>
      <c r="DS218" s="280">
        <f t="shared" si="58"/>
        <v>12.348114480000001</v>
      </c>
      <c r="DT218" s="296">
        <f t="shared" si="59"/>
        <v>70.48393440000001</v>
      </c>
      <c r="DU218" s="14"/>
    </row>
    <row r="219" spans="1:125" ht="15.6" customHeight="1" x14ac:dyDescent="0.3">
      <c r="A219" s="4"/>
      <c r="B219" s="365"/>
      <c r="C219" s="369" t="s">
        <v>776</v>
      </c>
      <c r="D219" s="370" t="s">
        <v>413</v>
      </c>
      <c r="E219" s="371" t="s">
        <v>777</v>
      </c>
      <c r="F219" s="252">
        <f t="shared" ca="1" si="30"/>
        <v>0.91600000000000004</v>
      </c>
      <c r="G219" s="252" t="str">
        <f ca="1">IF(OR(FLSCR="ERROR",FLSPI="ERROR"),"No",IF(TODAY()-'Look Ups'!$D$4*365&gt;I219,"WP Applied","Yes"))</f>
        <v>WP Applied</v>
      </c>
      <c r="H219" s="253" t="str">
        <f t="shared" si="31"/>
        <v>Main-Genoa-Screacher (Upwind)-Spinnaker</v>
      </c>
      <c r="I219" s="1">
        <v>37878</v>
      </c>
      <c r="J219" s="1">
        <v>39340</v>
      </c>
      <c r="K219" s="87" t="s">
        <v>686</v>
      </c>
      <c r="L219" s="87" t="s">
        <v>182</v>
      </c>
      <c r="M219" s="207"/>
      <c r="N219" s="88" t="s">
        <v>271</v>
      </c>
      <c r="O219" s="88"/>
      <c r="P219" s="89"/>
      <c r="Q219" s="90">
        <v>7.42</v>
      </c>
      <c r="R219" s="87"/>
      <c r="S219" s="256">
        <f t="shared" si="32"/>
        <v>0.1855</v>
      </c>
      <c r="T219" s="117">
        <v>0.23</v>
      </c>
      <c r="U219" s="117">
        <v>0</v>
      </c>
      <c r="V219" s="258">
        <f t="shared" si="33"/>
        <v>7.1899999999999995</v>
      </c>
      <c r="W219" s="259">
        <f>IF(RL&gt;0,IF(RL&gt;'Look Ups'!Y$7,'Look Ups'!Y$8,('Look Ups'!Y$3*RL^3+'Look Ups'!Y$4*RL^2+'Look Ups'!Y$5*RL+'Look Ups'!Y$6)),0)</f>
        <v>0.29059639364700002</v>
      </c>
      <c r="X219" s="92">
        <v>990</v>
      </c>
      <c r="Y219" s="263">
        <f ca="1">IF(WDATE&lt;(TODAY()-'Look Ups'!$D$4*365),-WM*'Look Ups'!$D$5/100,0)</f>
        <v>-148.5</v>
      </c>
      <c r="Z219" s="103"/>
      <c r="AA219" s="109"/>
      <c r="AB219" s="109"/>
      <c r="AC219" s="265">
        <f>WCD+NC*'Look Ups'!$AF$3</f>
        <v>0</v>
      </c>
      <c r="AD219" s="265">
        <f ca="1">IF(RL&lt;'Look Ups'!AM$3,'Look Ups'!AM$4,IF(RL&gt;'Look Ups'!AM$5,'Look Ups'!AM$6,(RL-'Look Ups'!AM$3)/('Look Ups'!AM$5-'Look Ups'!AM$3)*('Look Ups'!AM$6-'Look Ups'!AM$4)+'Look Ups'!AM$4))/100*WS</f>
        <v>237.45600000000002</v>
      </c>
      <c r="AE219" s="269">
        <f t="shared" ca="1" si="34"/>
        <v>841.5</v>
      </c>
      <c r="AF219" s="267">
        <f t="shared" ca="1" si="35"/>
        <v>841.5</v>
      </c>
      <c r="AG219" s="94" t="s">
        <v>145</v>
      </c>
      <c r="AH219" s="95" t="s">
        <v>146</v>
      </c>
      <c r="AI219" s="96" t="s">
        <v>147</v>
      </c>
      <c r="AJ219" s="218"/>
      <c r="AK219" s="273">
        <f>IF(C219="",0,VLOOKUP(AG219,'Look Ups'!$F$3:$G$6,2,0)*VLOOKUP(AH219,'Look Ups'!$I$3:$J$5,2,0)*VLOOKUP(AI219,'Look Ups'!$L$3:$M$7,2,0)*IF(AJ219="",1,VLOOKUP(AJ219,'Look Ups'!$O$3:$P$4,2,0)))</f>
        <v>1</v>
      </c>
      <c r="AL219" s="83">
        <v>9.5500000000000007</v>
      </c>
      <c r="AM219" s="91">
        <v>9.1199999999999992</v>
      </c>
      <c r="AN219" s="91">
        <v>3.35</v>
      </c>
      <c r="AO219" s="91">
        <v>1.18</v>
      </c>
      <c r="AP219" s="91">
        <v>0.59</v>
      </c>
      <c r="AQ219" s="91">
        <v>8.9700000000000006</v>
      </c>
      <c r="AR219" s="91">
        <v>0.08</v>
      </c>
      <c r="AS219" s="91">
        <v>3.6</v>
      </c>
      <c r="AT219" s="91">
        <v>0.03</v>
      </c>
      <c r="AU219" s="91">
        <v>0.4</v>
      </c>
      <c r="AV219" s="91" t="s">
        <v>148</v>
      </c>
      <c r="AW219" s="97">
        <v>0</v>
      </c>
      <c r="AX219" s="256">
        <f t="shared" si="36"/>
        <v>9</v>
      </c>
      <c r="AY219" s="256">
        <f t="shared" si="37"/>
        <v>1.3455000000000004</v>
      </c>
      <c r="AZ219" s="275">
        <f>IF(C219="",0,(0.5*(_ML1*LPM)+0.5*(_ML1*HB)+0.66*(P*PR)+0.66*(_ML2*RDM)+0.66*(E*ER))*VLOOKUP(BATT,'Look Ups'!$U$3:$V$4,2,0))</f>
        <v>25.726974000000002</v>
      </c>
      <c r="BA219" s="98"/>
      <c r="BB219" s="99"/>
      <c r="BC219" s="83">
        <v>8.11</v>
      </c>
      <c r="BD219" s="91">
        <v>2.57</v>
      </c>
      <c r="BE219" s="91">
        <v>2.95</v>
      </c>
      <c r="BF219" s="91">
        <v>0.08</v>
      </c>
      <c r="BG219" s="91">
        <v>7.22</v>
      </c>
      <c r="BH219" s="91"/>
      <c r="BI219" s="91"/>
      <c r="BJ219" s="91">
        <v>0.1</v>
      </c>
      <c r="BK219" s="91">
        <v>-0.06</v>
      </c>
      <c r="BL219" s="97">
        <v>0</v>
      </c>
      <c r="BM219" s="275">
        <f t="shared" si="38"/>
        <v>10.732474</v>
      </c>
      <c r="BN219" s="319"/>
      <c r="BO219" s="320"/>
      <c r="BP219" s="321"/>
      <c r="BQ219" s="321"/>
      <c r="BR219" s="320"/>
      <c r="BS219" s="321"/>
      <c r="BT219" s="321"/>
      <c r="BU219" s="280">
        <f t="shared" si="39"/>
        <v>0</v>
      </c>
      <c r="BV219" s="322"/>
      <c r="BW219" s="320"/>
      <c r="BX219" s="320"/>
      <c r="BY219" s="320"/>
      <c r="BZ219" s="320"/>
      <c r="CA219" s="320"/>
      <c r="CB219" s="320"/>
      <c r="CC219" s="275">
        <f t="shared" si="40"/>
        <v>0</v>
      </c>
      <c r="CD219" s="98">
        <v>7.38</v>
      </c>
      <c r="CE219" s="91">
        <v>12.03</v>
      </c>
      <c r="CF219" s="91">
        <v>11.01</v>
      </c>
      <c r="CG219" s="91">
        <v>6.38</v>
      </c>
      <c r="CH219" s="266">
        <f t="shared" si="41"/>
        <v>86.449864498644985</v>
      </c>
      <c r="CI219" s="320"/>
      <c r="CJ219" s="280">
        <f t="shared" si="42"/>
        <v>63.167999999999999</v>
      </c>
      <c r="CK219" s="83">
        <v>6</v>
      </c>
      <c r="CL219" s="91">
        <v>8.9600000000000009</v>
      </c>
      <c r="CM219" s="91">
        <v>7.6</v>
      </c>
      <c r="CN219" s="91">
        <v>3.02</v>
      </c>
      <c r="CO219" s="256">
        <f t="shared" si="43"/>
        <v>50.333333333333329</v>
      </c>
      <c r="CP219" s="320"/>
      <c r="CQ219" s="256">
        <f t="shared" si="44"/>
        <v>24.950400000000002</v>
      </c>
      <c r="CR219" s="256" t="str">
        <f>IF(CO219&lt;'Look Ups'!$AC$4,"Yes","No")</f>
        <v>Yes</v>
      </c>
      <c r="CS219" s="293">
        <f>IF(CR219="Yes",MIN(150,('Look Ups'!$AC$4-PSCR)/('Look Ups'!$AC$4-'Look Ups'!$AC$3)*100),0)</f>
        <v>33.333333333333428</v>
      </c>
      <c r="CT219" s="83"/>
      <c r="CU219" s="91"/>
      <c r="CV219" s="91"/>
      <c r="CW219" s="91"/>
      <c r="CX219" s="256" t="str">
        <f t="shared" si="45"/>
        <v/>
      </c>
      <c r="CY219" s="293">
        <f>IF(PUSCR&lt;'Look Ups'!$AC$4,MIN(150,('Look Ups'!$AC$4-PUSCR)/('Look Ups'!$AC$4-'Look Ups'!$AC$3)*100),0)</f>
        <v>0</v>
      </c>
      <c r="CZ219" s="275">
        <f>IF(PUSCR&lt;'Look Ups'!$AC$4,USCRF*(USCRL1+USCRL2)/4+(USCRMG-USCRF/2)*(USCRL1+USCRL2)/3,0)</f>
        <v>0</v>
      </c>
      <c r="DA219" s="294">
        <f t="shared" si="46"/>
        <v>1</v>
      </c>
      <c r="DB219" s="256">
        <f t="shared" si="47"/>
        <v>27.072474000000003</v>
      </c>
      <c r="DC219" s="256">
        <f t="shared" si="48"/>
        <v>1</v>
      </c>
      <c r="DD219" s="256">
        <f t="shared" si="49"/>
        <v>10.732474</v>
      </c>
      <c r="DE219" s="256">
        <f>IF(AZ219&gt;0,'Look Ups'!$S$3,0)</f>
        <v>1</v>
      </c>
      <c r="DF219" s="256">
        <f t="shared" si="50"/>
        <v>0</v>
      </c>
      <c r="DG219" s="256">
        <f t="shared" si="51"/>
        <v>0</v>
      </c>
      <c r="DH219" s="256">
        <f t="shared" si="52"/>
        <v>0</v>
      </c>
      <c r="DI219" s="280">
        <f t="shared" si="53"/>
        <v>0</v>
      </c>
      <c r="DJ219" s="295" t="str">
        <f t="shared" si="54"/>
        <v>valid</v>
      </c>
      <c r="DK219" s="266" t="str">
        <f t="shared" si="55"/>
        <v>valid</v>
      </c>
      <c r="DL219" s="267" t="str">
        <f t="shared" si="56"/>
        <v>MGScrSP</v>
      </c>
      <c r="DM219" s="294">
        <f t="shared" si="57"/>
        <v>37.804948000000003</v>
      </c>
      <c r="DN219" s="256">
        <f>IF(MSASP&gt;0,'Look Ups'!$AI$4*(ZVAL*MSASP-RSAG),0)</f>
        <v>15.730657799999998</v>
      </c>
      <c r="DO219" s="256">
        <f>IF(AND(MSASC&gt;0,(MSASC&gt;=0.36*RSAM)),('Look Ups'!$AI$3*(ZVAL*MSASC-RSAG)),(0))</f>
        <v>4.9762741000000004</v>
      </c>
      <c r="DP219" s="256">
        <f>IF(MSASP&gt;0,'Look Ups'!$AI$5*(ZVAL*MSASP-RSAG),0)</f>
        <v>14.681947280000001</v>
      </c>
      <c r="DQ219" s="256">
        <f>IF(MSASC&gt;0,'Look Ups'!$AI$6*(MSASC-RSAG),0)</f>
        <v>0.99525482000000021</v>
      </c>
      <c r="DR219" s="280">
        <f>'Look Ups'!$AI$7*MAX(IF(MSAUSC&gt;0,EUSC/100*(MSAUSC-RSAG),0),IF(CR219="Yes",ELSC/100*(MSASC-RSAG),0))</f>
        <v>1.1848271666666701</v>
      </c>
      <c r="DS219" s="280">
        <f t="shared" si="58"/>
        <v>9.7460906400000002</v>
      </c>
      <c r="DT219" s="296">
        <f t="shared" si="59"/>
        <v>54.666977266666677</v>
      </c>
      <c r="DU219" s="14"/>
    </row>
    <row r="220" spans="1:125" ht="15.6" customHeight="1" x14ac:dyDescent="0.3">
      <c r="A220" s="4"/>
      <c r="B220" s="365"/>
      <c r="C220" s="369" t="s">
        <v>778</v>
      </c>
      <c r="D220" s="370"/>
      <c r="E220" s="371" t="s">
        <v>779</v>
      </c>
      <c r="F220" s="252">
        <f t="shared" ref="F220:F251" ca="1" si="60">IF(RW=0,0,ROUND(DLF*0.93*RL^LF*RSA^0.4/RW^0.325,3))</f>
        <v>0.81599999999999995</v>
      </c>
      <c r="G220" s="252" t="str">
        <f ca="1">IF(OR(FLSCR="ERROR",FLSPI="ERROR"),"No",IF(TODAY()-'Look Ups'!$D$4*365&gt;I220,"WP Applied","Yes"))</f>
        <v>WP Applied</v>
      </c>
      <c r="H220" s="253" t="str">
        <f t="shared" ref="H220:H251" si="61">IF(SPC="","",CONCATENATE("Main-Genoa",IF(FLSCR="valid",IF(OR(CR220="Yes",MSAUSC&gt;0),"-Screacher (Upwind)","-Screacher"),""),IF(FLSPI="valid","-Spinnaker",""),IF(RSAMZ&gt;0,"-Mizzen",""),IF(RSA2M&gt;0,"-Second Main",""),IF(AS&gt;0,"-Staysail",""),IF(AD&gt;0,"-Drifter","")))</f>
        <v>Main-Genoa-Screacher</v>
      </c>
      <c r="I220" s="1">
        <v>39131</v>
      </c>
      <c r="J220" s="1"/>
      <c r="K220" s="87" t="s">
        <v>594</v>
      </c>
      <c r="L220" s="87" t="s">
        <v>270</v>
      </c>
      <c r="M220" s="207"/>
      <c r="N220" s="88" t="s">
        <v>165</v>
      </c>
      <c r="O220" s="88"/>
      <c r="P220" s="89"/>
      <c r="Q220" s="90">
        <v>11.7</v>
      </c>
      <c r="R220" s="87"/>
      <c r="S220" s="256">
        <f t="shared" ref="S220:S251" si="62">IF((LOAA&gt;LOA),0.025*LOAA,0.025*LOA)</f>
        <v>0.29249999999999998</v>
      </c>
      <c r="T220" s="117">
        <v>0</v>
      </c>
      <c r="U220" s="117">
        <v>0</v>
      </c>
      <c r="V220" s="258">
        <f t="shared" ref="V220:V251" si="63">IF((_xlfn.SINGLE(LOAA)&gt;_xlfn.SINGLE(LOA)),_xlfn.SINGLE(LOAA),_xlfn.SINGLE(LOA)-_xlfn.SINGLE(FOC)-_xlfn.SINGLE(AOC))</f>
        <v>11.7</v>
      </c>
      <c r="W220" s="259">
        <f>IF(RL&gt;0,IF(RL&gt;'Look Ups'!Y$7,'Look Ups'!Y$8,('Look Ups'!Y$3*RL^3+'Look Ups'!Y$4*RL^2+'Look Ups'!Y$5*RL+'Look Ups'!Y$6)),0)</f>
        <v>0.299857229</v>
      </c>
      <c r="X220" s="92">
        <v>5205</v>
      </c>
      <c r="Y220" s="263">
        <f ca="1">IF(WDATE&lt;(TODAY()-'Look Ups'!$D$4*365),-WM*'Look Ups'!$D$5/100,0)</f>
        <v>-780.75</v>
      </c>
      <c r="Z220" s="103"/>
      <c r="AA220" s="109"/>
      <c r="AB220" s="109"/>
      <c r="AC220" s="265">
        <f>WCD+NC*'Look Ups'!$AF$3</f>
        <v>0</v>
      </c>
      <c r="AD220" s="265">
        <f ca="1">IF(RL&lt;'Look Ups'!AM$3,'Look Ups'!AM$4,IF(RL&gt;'Look Ups'!AM$5,'Look Ups'!AM$6,(RL-'Look Ups'!AM$3)/('Look Ups'!AM$5-'Look Ups'!AM$3)*('Look Ups'!AM$6-'Look Ups'!AM$4)+'Look Ups'!AM$4))/100*WS</f>
        <v>522.86590909090921</v>
      </c>
      <c r="AE220" s="269">
        <f t="shared" ref="AE220:AE251" ca="1" si="64">WM+WP+WE</f>
        <v>4424.25</v>
      </c>
      <c r="AF220" s="267">
        <f t="shared" ref="AF220:AF251" ca="1" si="65">_xlfn.SINGLE(WS)+IF(_xlfn.SINGLE(TCW)&gt;=_xlfn.SINGLE(CWA),_xlfn.SINGLE(CWA),_xlfn.SINGLE(TCW))</f>
        <v>4424.25</v>
      </c>
      <c r="AG220" s="94" t="s">
        <v>263</v>
      </c>
      <c r="AH220" s="95" t="s">
        <v>146</v>
      </c>
      <c r="AI220" s="96" t="s">
        <v>147</v>
      </c>
      <c r="AJ220" s="218"/>
      <c r="AK220" s="273">
        <f>IF(C220="",0,VLOOKUP(AG220,'Look Ups'!$F$3:$G$6,2,0)*VLOOKUP(AH220,'Look Ups'!$I$3:$J$5,2,0)*VLOOKUP(AI220,'Look Ups'!$L$3:$M$7,2,0)*IF(AJ220="",1,VLOOKUP(AJ220,'Look Ups'!$O$3:$P$4,2,0)))</f>
        <v>0.995</v>
      </c>
      <c r="AL220" s="83">
        <v>14.05</v>
      </c>
      <c r="AM220" s="91">
        <v>12.39</v>
      </c>
      <c r="AN220" s="91">
        <v>4.53</v>
      </c>
      <c r="AO220" s="91">
        <v>1.4</v>
      </c>
      <c r="AP220" s="91">
        <v>1.1100000000000001</v>
      </c>
      <c r="AQ220" s="91">
        <v>13.77</v>
      </c>
      <c r="AR220" s="91">
        <v>0.09</v>
      </c>
      <c r="AS220" s="91">
        <v>4.6399999999999997</v>
      </c>
      <c r="AT220" s="91">
        <v>0.03</v>
      </c>
      <c r="AU220" s="91">
        <v>0.62</v>
      </c>
      <c r="AV220" s="91" t="s">
        <v>148</v>
      </c>
      <c r="AW220" s="97">
        <v>0</v>
      </c>
      <c r="AX220" s="256">
        <f t="shared" ref="AX220:AX251" si="66">P+ER</f>
        <v>13.799999999999999</v>
      </c>
      <c r="AY220" s="256">
        <f t="shared" ref="AY220:AY251" si="67">P*0.375*MC</f>
        <v>3.2015250000000002</v>
      </c>
      <c r="AZ220" s="275">
        <f>IF(C220="",0,(0.5*(_ML1*LPM)+0.5*(_ML1*HB)+0.66*(P*PR)+0.66*(_ML2*RDM)+0.66*(E*ER))*VLOOKUP(BATT,'Look Ups'!$U$3:$V$4,2,0))</f>
        <v>51.644974000000005</v>
      </c>
      <c r="BA220" s="98"/>
      <c r="BB220" s="99"/>
      <c r="BC220" s="83">
        <v>12.24</v>
      </c>
      <c r="BD220" s="91">
        <v>4.8</v>
      </c>
      <c r="BE220" s="91">
        <v>5.32</v>
      </c>
      <c r="BF220" s="91">
        <v>0.11</v>
      </c>
      <c r="BG220" s="91">
        <v>10.91</v>
      </c>
      <c r="BH220" s="91"/>
      <c r="BI220" s="91"/>
      <c r="BJ220" s="91">
        <v>-0.30000000000000004</v>
      </c>
      <c r="BK220" s="91">
        <v>-0.1</v>
      </c>
      <c r="BL220" s="97">
        <v>0</v>
      </c>
      <c r="BM220" s="275">
        <f t="shared" ref="BM220:BM251" si="68">(0.5*LL*LPG)+(0.5*_LG1*HG)+(0.66*LL*LLRG)+(0.66*FG*FRG)+(IF((HG&gt;0),(0.66*_LG2*LRG),(0.66*_LG1*LRG)))</f>
        <v>26.794211999999998</v>
      </c>
      <c r="BN220" s="319"/>
      <c r="BO220" s="320"/>
      <c r="BP220" s="321"/>
      <c r="BQ220" s="321"/>
      <c r="BR220" s="320"/>
      <c r="BS220" s="321"/>
      <c r="BT220" s="321"/>
      <c r="BU220" s="280">
        <f t="shared" ref="BU220:BU251" si="69">(0.5*LLS*LPS)+(0.66*LLS*LLRS)+(0.66*LS*LRS)+(0.66*FS*FRS)</f>
        <v>0</v>
      </c>
      <c r="BV220" s="322"/>
      <c r="BW220" s="320"/>
      <c r="BX220" s="320"/>
      <c r="BY220" s="320"/>
      <c r="BZ220" s="320"/>
      <c r="CA220" s="320"/>
      <c r="CB220" s="320"/>
      <c r="CC220" s="275">
        <f t="shared" ref="CC220:CC251" si="70">(0.5*LLD*LPD)+(0.66*LLD*LLRD)+(0.66*LCHD*LRD)+(0.66*FD*FRD)</f>
        <v>0</v>
      </c>
      <c r="CD220" s="98"/>
      <c r="CE220" s="91"/>
      <c r="CF220" s="91"/>
      <c r="CG220" s="91"/>
      <c r="CH220" s="266" t="str">
        <f t="shared" ref="CH220:CH251" si="71">IF(SF&gt;0,SMG/SF*100,"")</f>
        <v/>
      </c>
      <c r="CI220" s="320"/>
      <c r="CJ220" s="280">
        <f t="shared" ref="CJ220:CJ251" si="72">SF*(_SL1+_SL2)/4+(SMG-SF/2)*(_SL1+_SL2)/3</f>
        <v>0</v>
      </c>
      <c r="CK220" s="83">
        <v>9.32</v>
      </c>
      <c r="CL220" s="91">
        <v>16.82</v>
      </c>
      <c r="CM220" s="91">
        <v>15.43</v>
      </c>
      <c r="CN220" s="91">
        <v>6.62</v>
      </c>
      <c r="CO220" s="256">
        <f t="shared" ref="CO220:CO251" si="73">IF(SCRF&gt;0,SCRMG/SCRF*100,"")</f>
        <v>71.030042918454939</v>
      </c>
      <c r="CP220" s="320"/>
      <c r="CQ220" s="256">
        <f t="shared" ref="CQ220:CQ251" si="74">SCRF*(SCRL1+SCRL2)/4+(SCRMG-SCRF/2)*(SCRL1+SCRL2)/3</f>
        <v>96.212500000000006</v>
      </c>
      <c r="CR220" s="256" t="str">
        <f>IF(CO220&lt;'Look Ups'!$AC$4,"Yes","No")</f>
        <v>No</v>
      </c>
      <c r="CS220" s="293">
        <f>IF(CR220="Yes",MIN(150,('Look Ups'!$AC$4-PSCR)/('Look Ups'!$AC$4-'Look Ups'!$AC$3)*100),0)</f>
        <v>0</v>
      </c>
      <c r="CT220" s="83"/>
      <c r="CU220" s="91"/>
      <c r="CV220" s="91"/>
      <c r="CW220" s="91"/>
      <c r="CX220" s="256" t="str">
        <f t="shared" ref="CX220:CX251" si="75">IF(USCRF&gt;0,USCRMG/USCRF*100,"")</f>
        <v/>
      </c>
      <c r="CY220" s="293">
        <f>IF(PUSCR&lt;'Look Ups'!$AC$4,MIN(150,('Look Ups'!$AC$4-PUSCR)/('Look Ups'!$AC$4-'Look Ups'!$AC$3)*100),0)</f>
        <v>0</v>
      </c>
      <c r="CZ220" s="275">
        <f>IF(PUSCR&lt;'Look Ups'!$AC$4,USCRF*(USCRL1+USCRL2)/4+(USCRMG-USCRF/2)*(USCRL1+USCRL2)/3,0)</f>
        <v>0</v>
      </c>
      <c r="DA220" s="294">
        <f t="shared" ref="DA220:DA251" si="76">IF(ZVAL=1,1,IF(LPM&gt;0,0.64*((AM+MAM)/(E+(MC/2))^2)^0.3,0))</f>
        <v>1</v>
      </c>
      <c r="DB220" s="256">
        <f t="shared" ref="DB220:DB251" si="77">0.65*((AM+MAM)*EFM)+0.35*((AM+MAM)*ZVAL)</f>
        <v>54.846499000000009</v>
      </c>
      <c r="DC220" s="256">
        <f t="shared" ref="DC220:DC251" si="78">IF(ZVAL=1,1,IF(LPG&gt;0,0.72*(AG/(LPG^2))^0.3,0))</f>
        <v>1</v>
      </c>
      <c r="DD220" s="256">
        <f t="shared" ref="DD220:DD251" si="79">AG*EFG</f>
        <v>26.794211999999998</v>
      </c>
      <c r="DE220" s="256">
        <f>IF(AZ220&gt;0,'Look Ups'!$S$3,0)</f>
        <v>1</v>
      </c>
      <c r="DF220" s="256">
        <f t="shared" ref="DF220:DF251" si="80">IF(LPS&gt;0,0.72*(AS/(LPS^2))^0.3,0)</f>
        <v>0</v>
      </c>
      <c r="DG220" s="256">
        <f t="shared" ref="DG220:DG251" si="81">EFS*AS</f>
        <v>0</v>
      </c>
      <c r="DH220" s="256">
        <f t="shared" ref="DH220:DH251" si="82">IF(LPD&gt;0,0.72*(AD/(LPD^2))^0.3,0)</f>
        <v>0</v>
      </c>
      <c r="DI220" s="280">
        <f t="shared" ref="DI220:DI251" si="83">IF((AD-AG)&gt;0,0.3*(AD-AG)*EFD,0)</f>
        <v>0</v>
      </c>
      <c r="DJ220" s="295" t="str">
        <f t="shared" ref="DJ220:DJ251" si="84">IF((SCRF=0),"-",IF(AND(MSASC&gt;AG,SCRMG&lt;(0.75*SCRF)),"valid","ERROR"))</f>
        <v>valid</v>
      </c>
      <c r="DK220" s="266" t="str">
        <f t="shared" ref="DK220:DK251" si="85">IF((SF=0),"-",IF((SMG&lt;(0.75*SF)),"ERROR",IF(AND(MSASP&gt;MSASC,MSASP&gt;AG,MSASP&gt;=0.36*RSAM),"valid","Small")))</f>
        <v>-</v>
      </c>
      <c r="DL220" s="267" t="str">
        <f t="shared" ref="DL220:DL251" si="86">IF(C220="","",CONCATENATE("MG",IF(FLSCR="valid","Scr",""),IF(FLSPI="valid","SP","")))</f>
        <v>MGScr</v>
      </c>
      <c r="DM220" s="294">
        <f t="shared" ref="DM220:DM251" si="87">RSAM+RSAG</f>
        <v>81.64071100000001</v>
      </c>
      <c r="DN220" s="256">
        <f>IF(MSASP&gt;0,'Look Ups'!$AI$4*(ZVAL*MSASP-RSAG),0)</f>
        <v>0</v>
      </c>
      <c r="DO220" s="256">
        <f>IF(AND(MSASC&gt;0,(MSASC&gt;=0.36*RSAM)),('Look Ups'!$AI$3*(ZVAL*MSASC-RSAG)),(0))</f>
        <v>24.296400800000001</v>
      </c>
      <c r="DP220" s="256">
        <f>IF(MSASP&gt;0,'Look Ups'!$AI$5*(ZVAL*MSASP-RSAG),0)</f>
        <v>0</v>
      </c>
      <c r="DQ220" s="256">
        <f>IF(MSASC&gt;0,'Look Ups'!$AI$6*(MSASC-RSAG),0)</f>
        <v>4.8592801600000008</v>
      </c>
      <c r="DR220" s="280">
        <f>'Look Ups'!$AI$7*MAX(IF(MSAUSC&gt;0,EUSC/100*(MSAUSC-RSAG),0),IF(CR220="Yes",ELSC/100*(MSASC-RSAG),0))</f>
        <v>0</v>
      </c>
      <c r="DS220" s="280">
        <f t="shared" ref="DS220:DS251" si="88">0.36*RSAM</f>
        <v>19.744739640000002</v>
      </c>
      <c r="DT220" s="296">
        <f t="shared" ref="DT220:DT251" si="89">_xlfn.IFS(SPC="MG",RAMG+DS220,SPC="MGScr",RAMG+RASCO,SPC="MGSp",RAMG+RASPO,SPC="MGScrSp",RAMG+RASPSC+RASCR)+RAUSC+RSAST+RSAD+RSAMZ+RSA2M</f>
        <v>105.93711180000001</v>
      </c>
      <c r="DU220" s="14"/>
    </row>
    <row r="221" spans="1:125" ht="15.6" customHeight="1" x14ac:dyDescent="0.3">
      <c r="A221" s="4"/>
      <c r="B221" s="365"/>
      <c r="C221" s="369" t="s">
        <v>780</v>
      </c>
      <c r="D221" s="370"/>
      <c r="E221" s="371" t="s">
        <v>781</v>
      </c>
      <c r="F221" s="252">
        <f t="shared" ca="1" si="60"/>
        <v>0.875</v>
      </c>
      <c r="G221" s="252" t="str">
        <f ca="1">IF(OR(FLSCR="ERROR",FLSPI="ERROR"),"No",IF(TODAY()-'Look Ups'!$D$4*365&gt;I221,"WP Applied","Yes"))</f>
        <v>WP Applied</v>
      </c>
      <c r="H221" s="253" t="str">
        <f t="shared" si="61"/>
        <v>Main-Genoa-Spinnaker</v>
      </c>
      <c r="I221" s="1">
        <v>39767</v>
      </c>
      <c r="J221" s="1">
        <v>39768</v>
      </c>
      <c r="K221" s="87" t="s">
        <v>359</v>
      </c>
      <c r="L221" s="87" t="s">
        <v>241</v>
      </c>
      <c r="M221" s="207"/>
      <c r="N221" s="88"/>
      <c r="O221" s="88"/>
      <c r="P221" s="89"/>
      <c r="Q221" s="90">
        <v>6.18</v>
      </c>
      <c r="R221" s="87"/>
      <c r="S221" s="256">
        <f t="shared" si="62"/>
        <v>0.1545</v>
      </c>
      <c r="T221" s="117">
        <v>0</v>
      </c>
      <c r="U221" s="117">
        <v>0</v>
      </c>
      <c r="V221" s="258">
        <f t="shared" si="63"/>
        <v>6.18</v>
      </c>
      <c r="W221" s="259">
        <f>IF(RL&gt;0,IF(RL&gt;'Look Ups'!Y$7,'Look Ups'!Y$8,('Look Ups'!Y$3*RL^3+'Look Ups'!Y$4*RL^2+'Look Ups'!Y$5*RL+'Look Ups'!Y$6)),0)</f>
        <v>0.285329598056</v>
      </c>
      <c r="X221" s="92">
        <v>560</v>
      </c>
      <c r="Y221" s="263">
        <f ca="1">IF(WDATE&lt;(TODAY()-'Look Ups'!$D$4*365),-WM*'Look Ups'!$D$5/100,0)</f>
        <v>-84</v>
      </c>
      <c r="Z221" s="103"/>
      <c r="AA221" s="109"/>
      <c r="AB221" s="109"/>
      <c r="AC221" s="265">
        <f>WCD+NC*'Look Ups'!$AF$3</f>
        <v>0</v>
      </c>
      <c r="AD221" s="265">
        <f ca="1">IF(RL&lt;'Look Ups'!AM$3,'Look Ups'!AM$4,IF(RL&gt;'Look Ups'!AM$5,'Look Ups'!AM$6,(RL-'Look Ups'!AM$3)/('Look Ups'!AM$5-'Look Ups'!AM$3)*('Look Ups'!AM$6-'Look Ups'!AM$4)+'Look Ups'!AM$4))/100*WS</f>
        <v>142.79999999999998</v>
      </c>
      <c r="AE221" s="269">
        <f t="shared" ca="1" si="64"/>
        <v>476</v>
      </c>
      <c r="AF221" s="267">
        <f t="shared" ca="1" si="65"/>
        <v>476</v>
      </c>
      <c r="AG221" s="94" t="s">
        <v>145</v>
      </c>
      <c r="AH221" s="95" t="s">
        <v>146</v>
      </c>
      <c r="AI221" s="96" t="s">
        <v>147</v>
      </c>
      <c r="AJ221" s="218"/>
      <c r="AK221" s="273">
        <f>IF(C221="",0,VLOOKUP(AG221,'Look Ups'!$F$3:$G$6,2,0)*VLOOKUP(AH221,'Look Ups'!$I$3:$J$5,2,0)*VLOOKUP(AI221,'Look Ups'!$L$3:$M$7,2,0)*IF(AJ221="",1,VLOOKUP(AJ221,'Look Ups'!$O$3:$P$4,2,0)))</f>
        <v>1</v>
      </c>
      <c r="AL221" s="83">
        <v>9.56</v>
      </c>
      <c r="AM221" s="91">
        <v>9.56</v>
      </c>
      <c r="AN221" s="91">
        <v>2.7</v>
      </c>
      <c r="AO221" s="91">
        <v>0.82</v>
      </c>
      <c r="AP221" s="91">
        <v>0.30000000000000004</v>
      </c>
      <c r="AQ221" s="91">
        <v>9.56</v>
      </c>
      <c r="AR221" s="91">
        <v>0.1</v>
      </c>
      <c r="AS221" s="91">
        <v>2.75</v>
      </c>
      <c r="AT221" s="91">
        <v>0</v>
      </c>
      <c r="AU221" s="91">
        <v>0.2</v>
      </c>
      <c r="AV221" s="91" t="s">
        <v>148</v>
      </c>
      <c r="AW221" s="97"/>
      <c r="AX221" s="256">
        <f t="shared" si="66"/>
        <v>9.56</v>
      </c>
      <c r="AY221" s="256">
        <f t="shared" si="67"/>
        <v>0.71700000000000008</v>
      </c>
      <c r="AZ221" s="275">
        <f>IF(C221="",0,(0.5*(_ML1*LPM)+0.5*(_ML1*HB)+0.66*(P*PR)+0.66*(_ML2*RDM)+0.66*(E*ER))*VLOOKUP(BATT,'Look Ups'!$U$3:$V$4,2,0))</f>
        <v>19.349440000000005</v>
      </c>
      <c r="BA221" s="98"/>
      <c r="BB221" s="99"/>
      <c r="BC221" s="83">
        <v>7</v>
      </c>
      <c r="BD221" s="91">
        <v>1.6</v>
      </c>
      <c r="BE221" s="91">
        <v>1.65</v>
      </c>
      <c r="BF221" s="91">
        <v>0</v>
      </c>
      <c r="BG221" s="91">
        <v>7.89</v>
      </c>
      <c r="BH221" s="91"/>
      <c r="BI221" s="91"/>
      <c r="BJ221" s="91">
        <v>0</v>
      </c>
      <c r="BK221" s="91">
        <v>-0.2</v>
      </c>
      <c r="BL221" s="97"/>
      <c r="BM221" s="275">
        <f t="shared" si="68"/>
        <v>4.6760000000000002</v>
      </c>
      <c r="BN221" s="319"/>
      <c r="BO221" s="320"/>
      <c r="BP221" s="321"/>
      <c r="BQ221" s="321"/>
      <c r="BR221" s="320"/>
      <c r="BS221" s="321"/>
      <c r="BT221" s="321"/>
      <c r="BU221" s="280">
        <f t="shared" si="69"/>
        <v>0</v>
      </c>
      <c r="BV221" s="322"/>
      <c r="BW221" s="320"/>
      <c r="BX221" s="320"/>
      <c r="BY221" s="320"/>
      <c r="BZ221" s="320"/>
      <c r="CA221" s="320"/>
      <c r="CB221" s="320"/>
      <c r="CC221" s="275">
        <f t="shared" si="70"/>
        <v>0</v>
      </c>
      <c r="CD221" s="98">
        <v>5.35</v>
      </c>
      <c r="CE221" s="91">
        <v>10.36</v>
      </c>
      <c r="CF221" s="91">
        <v>8.9</v>
      </c>
      <c r="CG221" s="91">
        <v>4.74</v>
      </c>
      <c r="CH221" s="266">
        <f t="shared" si="71"/>
        <v>88.598130841121502</v>
      </c>
      <c r="CI221" s="320"/>
      <c r="CJ221" s="280">
        <f t="shared" si="72"/>
        <v>39.01755</v>
      </c>
      <c r="CK221" s="83"/>
      <c r="CL221" s="91"/>
      <c r="CM221" s="91"/>
      <c r="CN221" s="91"/>
      <c r="CO221" s="256" t="str">
        <f t="shared" si="73"/>
        <v/>
      </c>
      <c r="CP221" s="320"/>
      <c r="CQ221" s="256">
        <f t="shared" si="74"/>
        <v>0</v>
      </c>
      <c r="CR221" s="256" t="str">
        <f>IF(CO221&lt;'Look Ups'!$AC$4,"Yes","No")</f>
        <v>No</v>
      </c>
      <c r="CS221" s="293">
        <f>IF(CR221="Yes",MIN(150,('Look Ups'!$AC$4-PSCR)/('Look Ups'!$AC$4-'Look Ups'!$AC$3)*100),0)</f>
        <v>0</v>
      </c>
      <c r="CT221" s="83"/>
      <c r="CU221" s="91"/>
      <c r="CV221" s="91"/>
      <c r="CW221" s="91"/>
      <c r="CX221" s="256" t="str">
        <f t="shared" si="75"/>
        <v/>
      </c>
      <c r="CY221" s="293">
        <f>IF(PUSCR&lt;'Look Ups'!$AC$4,MIN(150,('Look Ups'!$AC$4-PUSCR)/('Look Ups'!$AC$4-'Look Ups'!$AC$3)*100),0)</f>
        <v>0</v>
      </c>
      <c r="CZ221" s="275">
        <f>IF(PUSCR&lt;'Look Ups'!$AC$4,USCRF*(USCRL1+USCRL2)/4+(USCRMG-USCRF/2)*(USCRL1+USCRL2)/3,0)</f>
        <v>0</v>
      </c>
      <c r="DA221" s="294">
        <f t="shared" si="76"/>
        <v>1</v>
      </c>
      <c r="DB221" s="256">
        <f t="shared" si="77"/>
        <v>20.066440000000004</v>
      </c>
      <c r="DC221" s="256">
        <f t="shared" si="78"/>
        <v>1</v>
      </c>
      <c r="DD221" s="256">
        <f t="shared" si="79"/>
        <v>4.6760000000000002</v>
      </c>
      <c r="DE221" s="256">
        <f>IF(AZ221&gt;0,'Look Ups'!$S$3,0)</f>
        <v>1</v>
      </c>
      <c r="DF221" s="256">
        <f t="shared" si="80"/>
        <v>0</v>
      </c>
      <c r="DG221" s="256">
        <f t="shared" si="81"/>
        <v>0</v>
      </c>
      <c r="DH221" s="256">
        <f t="shared" si="82"/>
        <v>0</v>
      </c>
      <c r="DI221" s="280">
        <f t="shared" si="83"/>
        <v>0</v>
      </c>
      <c r="DJ221" s="295" t="str">
        <f t="shared" si="84"/>
        <v>-</v>
      </c>
      <c r="DK221" s="266" t="str">
        <f t="shared" si="85"/>
        <v>valid</v>
      </c>
      <c r="DL221" s="267" t="str">
        <f t="shared" si="86"/>
        <v>MGSP</v>
      </c>
      <c r="DM221" s="294">
        <f t="shared" si="87"/>
        <v>24.742440000000002</v>
      </c>
      <c r="DN221" s="256">
        <f>IF(MSASP&gt;0,'Look Ups'!$AI$4*(ZVAL*MSASP-RSAG),0)</f>
        <v>10.302465</v>
      </c>
      <c r="DO221" s="256">
        <f>IF(AND(MSASC&gt;0,(MSASC&gt;=0.36*RSAM)),('Look Ups'!$AI$3*(ZVAL*MSASC-RSAG)),(0))</f>
        <v>0</v>
      </c>
      <c r="DP221" s="256">
        <f>IF(MSASP&gt;0,'Look Ups'!$AI$5*(ZVAL*MSASP-RSAG),0)</f>
        <v>9.615634</v>
      </c>
      <c r="DQ221" s="256">
        <f>IF(MSASC&gt;0,'Look Ups'!$AI$6*(MSASC-RSAG),0)</f>
        <v>0</v>
      </c>
      <c r="DR221" s="280">
        <f>'Look Ups'!$AI$7*MAX(IF(MSAUSC&gt;0,EUSC/100*(MSAUSC-RSAG),0),IF(CR221="Yes",ELSC/100*(MSASC-RSAG),0))</f>
        <v>0</v>
      </c>
      <c r="DS221" s="280">
        <f t="shared" si="88"/>
        <v>7.2239184000000014</v>
      </c>
      <c r="DT221" s="296">
        <f t="shared" si="89"/>
        <v>35.044905</v>
      </c>
      <c r="DU221" s="14"/>
    </row>
    <row r="222" spans="1:125" ht="15.6" customHeight="1" x14ac:dyDescent="0.3">
      <c r="A222" s="4"/>
      <c r="B222" s="365"/>
      <c r="C222" s="369" t="s">
        <v>782</v>
      </c>
      <c r="D222" s="370" t="s">
        <v>783</v>
      </c>
      <c r="E222" s="371" t="s">
        <v>784</v>
      </c>
      <c r="F222" s="252">
        <f t="shared" ca="1" si="60"/>
        <v>0.67100000000000004</v>
      </c>
      <c r="G222" s="252" t="str">
        <f ca="1">IF(OR(FLSCR="ERROR",FLSPI="ERROR"),"No",IF(TODAY()-'Look Ups'!$D$4*365&gt;I222,"WP Applied","Yes"))</f>
        <v>WP Applied</v>
      </c>
      <c r="H222" s="253" t="str">
        <f t="shared" si="61"/>
        <v>Main-Genoa-Screacher (Upwind)-Spinnaker</v>
      </c>
      <c r="I222" s="1">
        <v>39039</v>
      </c>
      <c r="J222" s="1">
        <v>39757</v>
      </c>
      <c r="K222" s="87" t="s">
        <v>359</v>
      </c>
      <c r="L222" s="87" t="s">
        <v>241</v>
      </c>
      <c r="M222" s="207"/>
      <c r="N222" s="88" t="s">
        <v>774</v>
      </c>
      <c r="O222" s="88"/>
      <c r="P222" s="89"/>
      <c r="Q222" s="90">
        <v>6.75</v>
      </c>
      <c r="R222" s="87"/>
      <c r="S222" s="256">
        <f t="shared" si="62"/>
        <v>0.16875000000000001</v>
      </c>
      <c r="T222" s="117">
        <v>0.2</v>
      </c>
      <c r="U222" s="117">
        <v>0</v>
      </c>
      <c r="V222" s="258">
        <f t="shared" si="63"/>
        <v>6.55</v>
      </c>
      <c r="W222" s="259">
        <f>IF(RL&gt;0,IF(RL&gt;'Look Ups'!Y$7,'Look Ups'!Y$8,('Look Ups'!Y$3*RL^3+'Look Ups'!Y$4*RL^2+'Look Ups'!Y$5*RL+'Look Ups'!Y$6)),0)</f>
        <v>0.28743487537500001</v>
      </c>
      <c r="X222" s="92">
        <v>1160</v>
      </c>
      <c r="Y222" s="263">
        <f ca="1">IF(WDATE&lt;(TODAY()-'Look Ups'!$D$4*365),-WM*'Look Ups'!$D$5/100,0)</f>
        <v>-174</v>
      </c>
      <c r="Z222" s="103"/>
      <c r="AA222" s="109"/>
      <c r="AB222" s="109"/>
      <c r="AC222" s="265">
        <f>WCD+NC*'Look Ups'!$AF$3</f>
        <v>0</v>
      </c>
      <c r="AD222" s="265">
        <f ca="1">IF(RL&lt;'Look Ups'!AM$3,'Look Ups'!AM$4,IF(RL&gt;'Look Ups'!AM$5,'Look Ups'!AM$6,(RL-'Look Ups'!AM$3)/('Look Ups'!AM$5-'Look Ups'!AM$3)*('Look Ups'!AM$6-'Look Ups'!AM$4)+'Look Ups'!AM$4))/100*WS</f>
        <v>295.8</v>
      </c>
      <c r="AE222" s="269">
        <f t="shared" ca="1" si="64"/>
        <v>986</v>
      </c>
      <c r="AF222" s="267">
        <f t="shared" ca="1" si="65"/>
        <v>986</v>
      </c>
      <c r="AG222" s="94" t="s">
        <v>145</v>
      </c>
      <c r="AH222" s="95" t="s">
        <v>146</v>
      </c>
      <c r="AI222" s="96" t="s">
        <v>147</v>
      </c>
      <c r="AJ222" s="218"/>
      <c r="AK222" s="273">
        <f>IF(C222="",0,VLOOKUP(AG222,'Look Ups'!$F$3:$G$6,2,0)*VLOOKUP(AH222,'Look Ups'!$I$3:$J$5,2,0)*VLOOKUP(AI222,'Look Ups'!$L$3:$M$7,2,0)*IF(AJ222="",1,VLOOKUP(AJ222,'Look Ups'!$O$3:$P$4,2,0)))</f>
        <v>1</v>
      </c>
      <c r="AL222" s="83">
        <v>7.7</v>
      </c>
      <c r="AM222" s="91">
        <v>7.7</v>
      </c>
      <c r="AN222" s="91">
        <v>2.77</v>
      </c>
      <c r="AO222" s="91">
        <v>0</v>
      </c>
      <c r="AP222" s="91">
        <v>0.85599999999999998</v>
      </c>
      <c r="AQ222" s="91">
        <v>7.3</v>
      </c>
      <c r="AR222" s="91">
        <v>0.06</v>
      </c>
      <c r="AS222" s="91">
        <v>2.89</v>
      </c>
      <c r="AT222" s="91">
        <v>0</v>
      </c>
      <c r="AU222" s="91">
        <v>0</v>
      </c>
      <c r="AV222" s="91" t="s">
        <v>148</v>
      </c>
      <c r="AW222" s="97">
        <v>0</v>
      </c>
      <c r="AX222" s="256">
        <f t="shared" si="66"/>
        <v>7.3</v>
      </c>
      <c r="AY222" s="256">
        <f t="shared" si="67"/>
        <v>0</v>
      </c>
      <c r="AZ222" s="275">
        <f>IF(C222="",0,(0.5*(_ML1*LPM)+0.5*(_ML1*HB)+0.66*(P*PR)+0.66*(_ML2*RDM)+0.66*(E*ER))*VLOOKUP(BATT,'Look Ups'!$U$3:$V$4,2,0))</f>
        <v>15.303772</v>
      </c>
      <c r="BA222" s="98"/>
      <c r="BB222" s="99"/>
      <c r="BC222" s="83">
        <v>6.92</v>
      </c>
      <c r="BD222" s="91">
        <v>2.64</v>
      </c>
      <c r="BE222" s="91">
        <v>2.99</v>
      </c>
      <c r="BF222" s="91">
        <v>0.06</v>
      </c>
      <c r="BG222" s="91">
        <v>6.1</v>
      </c>
      <c r="BH222" s="91"/>
      <c r="BI222" s="91"/>
      <c r="BJ222" s="91">
        <v>-0.15</v>
      </c>
      <c r="BK222" s="91">
        <v>0</v>
      </c>
      <c r="BL222" s="97">
        <v>0</v>
      </c>
      <c r="BM222" s="275">
        <f t="shared" si="68"/>
        <v>8.6489040000000017</v>
      </c>
      <c r="BN222" s="319"/>
      <c r="BO222" s="320"/>
      <c r="BP222" s="321"/>
      <c r="BQ222" s="321"/>
      <c r="BR222" s="320"/>
      <c r="BS222" s="321"/>
      <c r="BT222" s="321"/>
      <c r="BU222" s="280">
        <f t="shared" si="69"/>
        <v>0</v>
      </c>
      <c r="BV222" s="322"/>
      <c r="BW222" s="320"/>
      <c r="BX222" s="320"/>
      <c r="BY222" s="320"/>
      <c r="BZ222" s="320"/>
      <c r="CA222" s="320"/>
      <c r="CB222" s="320"/>
      <c r="CC222" s="275">
        <f t="shared" si="70"/>
        <v>0</v>
      </c>
      <c r="CD222" s="98">
        <v>4.46</v>
      </c>
      <c r="CE222" s="91">
        <v>8.76</v>
      </c>
      <c r="CF222" s="91">
        <v>7.58</v>
      </c>
      <c r="CG222" s="91">
        <v>3.5</v>
      </c>
      <c r="CH222" s="266">
        <f t="shared" si="71"/>
        <v>78.475336322869964</v>
      </c>
      <c r="CI222" s="320"/>
      <c r="CJ222" s="280">
        <f t="shared" si="72"/>
        <v>25.136366666666667</v>
      </c>
      <c r="CK222" s="83">
        <v>4.43</v>
      </c>
      <c r="CL222" s="91">
        <v>8.77</v>
      </c>
      <c r="CM222" s="91">
        <v>7.7</v>
      </c>
      <c r="CN222" s="91">
        <v>2.13</v>
      </c>
      <c r="CO222" s="256">
        <f t="shared" si="73"/>
        <v>48.081264108352144</v>
      </c>
      <c r="CP222" s="320"/>
      <c r="CQ222" s="256">
        <f t="shared" si="74"/>
        <v>17.773874999999997</v>
      </c>
      <c r="CR222" s="256" t="str">
        <f>IF(CO222&lt;'Look Ups'!$AC$4,"Yes","No")</f>
        <v>Yes</v>
      </c>
      <c r="CS222" s="293">
        <f>IF(CR222="Yes",MIN(150,('Look Ups'!$AC$4-PSCR)/('Look Ups'!$AC$4-'Look Ups'!$AC$3)*100),0)</f>
        <v>78.374717832957117</v>
      </c>
      <c r="CT222" s="83"/>
      <c r="CU222" s="91"/>
      <c r="CV222" s="91"/>
      <c r="CW222" s="91"/>
      <c r="CX222" s="256" t="str">
        <f t="shared" si="75"/>
        <v/>
      </c>
      <c r="CY222" s="293">
        <f>IF(PUSCR&lt;'Look Ups'!$AC$4,MIN(150,('Look Ups'!$AC$4-PUSCR)/('Look Ups'!$AC$4-'Look Ups'!$AC$3)*100),0)</f>
        <v>0</v>
      </c>
      <c r="CZ222" s="275">
        <f>IF(PUSCR&lt;'Look Ups'!$AC$4,USCRF*(USCRL1+USCRL2)/4+(USCRMG-USCRF/2)*(USCRL1+USCRL2)/3,0)</f>
        <v>0</v>
      </c>
      <c r="DA222" s="294">
        <f t="shared" si="76"/>
        <v>1</v>
      </c>
      <c r="DB222" s="256">
        <f t="shared" si="77"/>
        <v>15.303772000000002</v>
      </c>
      <c r="DC222" s="256">
        <f t="shared" si="78"/>
        <v>1</v>
      </c>
      <c r="DD222" s="256">
        <f t="shared" si="79"/>
        <v>8.6489040000000017</v>
      </c>
      <c r="DE222" s="256">
        <f>IF(AZ222&gt;0,'Look Ups'!$S$3,0)</f>
        <v>1</v>
      </c>
      <c r="DF222" s="256">
        <f t="shared" si="80"/>
        <v>0</v>
      </c>
      <c r="DG222" s="256">
        <f t="shared" si="81"/>
        <v>0</v>
      </c>
      <c r="DH222" s="256">
        <f t="shared" si="82"/>
        <v>0</v>
      </c>
      <c r="DI222" s="280">
        <f t="shared" si="83"/>
        <v>0</v>
      </c>
      <c r="DJ222" s="295" t="str">
        <f t="shared" si="84"/>
        <v>valid</v>
      </c>
      <c r="DK222" s="266" t="str">
        <f t="shared" si="85"/>
        <v>valid</v>
      </c>
      <c r="DL222" s="267" t="str">
        <f t="shared" si="86"/>
        <v>MGScrSP</v>
      </c>
      <c r="DM222" s="294">
        <f t="shared" si="87"/>
        <v>23.952676000000004</v>
      </c>
      <c r="DN222" s="256">
        <f>IF(MSASP&gt;0,'Look Ups'!$AI$4*(ZVAL*MSASP-RSAG),0)</f>
        <v>4.9462387999999997</v>
      </c>
      <c r="DO222" s="256">
        <f>IF(AND(MSASC&gt;0,(MSASC&gt;=0.36*RSAM)),('Look Ups'!$AI$3*(ZVAL*MSASC-RSAG)),(0))</f>
        <v>3.1937398499999983</v>
      </c>
      <c r="DP222" s="256">
        <f>IF(MSASP&gt;0,'Look Ups'!$AI$5*(ZVAL*MSASP-RSAG),0)</f>
        <v>4.6164895466666671</v>
      </c>
      <c r="DQ222" s="256">
        <f>IF(MSASC&gt;0,'Look Ups'!$AI$6*(MSASC-RSAG),0)</f>
        <v>0.63874796999999972</v>
      </c>
      <c r="DR222" s="280">
        <f>'Look Ups'!$AI$7*MAX(IF(MSAUSC&gt;0,EUSC/100*(MSAUSC-RSAG),0),IF(CR222="Yes",ELSC/100*(MSASC-RSAG),0))</f>
        <v>1.7879175683972903</v>
      </c>
      <c r="DS222" s="280">
        <f t="shared" si="88"/>
        <v>5.5093579200000002</v>
      </c>
      <c r="DT222" s="296">
        <f t="shared" si="89"/>
        <v>30.995831085063962</v>
      </c>
      <c r="DU222" s="14"/>
    </row>
    <row r="223" spans="1:125" ht="15.6" customHeight="1" x14ac:dyDescent="0.3">
      <c r="A223" s="4"/>
      <c r="B223" s="365"/>
      <c r="C223" s="369" t="s">
        <v>785</v>
      </c>
      <c r="D223" s="370" t="s">
        <v>786</v>
      </c>
      <c r="E223" s="371" t="s">
        <v>787</v>
      </c>
      <c r="F223" s="252">
        <f t="shared" ca="1" si="60"/>
        <v>0.79</v>
      </c>
      <c r="G223" s="252" t="str">
        <f ca="1">IF(OR(FLSCR="ERROR",FLSPI="ERROR"),"No",IF(TODAY()-'Look Ups'!$D$4*365&gt;I223,"WP Applied","Yes"))</f>
        <v>WP Applied</v>
      </c>
      <c r="H223" s="253" t="str">
        <f t="shared" si="61"/>
        <v>Main-Genoa-Spinnaker</v>
      </c>
      <c r="I223" s="1">
        <v>35865</v>
      </c>
      <c r="J223" s="1"/>
      <c r="K223" s="87" t="s">
        <v>176</v>
      </c>
      <c r="L223" s="87" t="s">
        <v>270</v>
      </c>
      <c r="M223" s="207"/>
      <c r="N223" s="88" t="s">
        <v>143</v>
      </c>
      <c r="O223" s="88"/>
      <c r="P223" s="89">
        <v>8.5</v>
      </c>
      <c r="Q223" s="90">
        <v>11.61</v>
      </c>
      <c r="R223" s="87"/>
      <c r="S223" s="256">
        <f t="shared" si="62"/>
        <v>0.29025000000000001</v>
      </c>
      <c r="T223" s="117">
        <v>0.37</v>
      </c>
      <c r="U223" s="117">
        <v>0</v>
      </c>
      <c r="V223" s="258">
        <f t="shared" si="63"/>
        <v>11.24</v>
      </c>
      <c r="W223" s="259">
        <f>IF(RL&gt;0,IF(RL&gt;'Look Ups'!Y$7,'Look Ups'!Y$8,('Look Ups'!Y$3*RL^3+'Look Ups'!Y$4*RL^2+'Look Ups'!Y$5*RL+'Look Ups'!Y$6)),0)</f>
        <v>0.29966850259200006</v>
      </c>
      <c r="X223" s="92">
        <v>5253</v>
      </c>
      <c r="Y223" s="263">
        <f ca="1">IF(WDATE&lt;(TODAY()-'Look Ups'!$D$4*365),-WM*'Look Ups'!$D$5/100,0)</f>
        <v>-787.95</v>
      </c>
      <c r="Z223" s="103"/>
      <c r="AA223" s="109"/>
      <c r="AB223" s="109"/>
      <c r="AC223" s="265">
        <f>WCD+NC*'Look Ups'!$AF$3</f>
        <v>0</v>
      </c>
      <c r="AD223" s="265">
        <f ca="1">IF(RL&lt;'Look Ups'!AM$3,'Look Ups'!AM$4,IF(RL&gt;'Look Ups'!AM$5,'Look Ups'!AM$6,(RL-'Look Ups'!AM$3)/('Look Ups'!AM$5-'Look Ups'!AM$3)*('Look Ups'!AM$6-'Look Ups'!AM$4)+'Look Ups'!AM$4))/100*WS</f>
        <v>602.37583636363638</v>
      </c>
      <c r="AE223" s="269">
        <f t="shared" ca="1" si="64"/>
        <v>4465.05</v>
      </c>
      <c r="AF223" s="267">
        <f t="shared" ca="1" si="65"/>
        <v>4465.05</v>
      </c>
      <c r="AG223" s="94" t="s">
        <v>145</v>
      </c>
      <c r="AH223" s="95" t="s">
        <v>146</v>
      </c>
      <c r="AI223" s="96" t="s">
        <v>187</v>
      </c>
      <c r="AJ223" s="218"/>
      <c r="AK223" s="273">
        <f>IF(C223="",0,VLOOKUP(AG223,'Look Ups'!$F$3:$G$6,2,0)*VLOOKUP(AH223,'Look Ups'!$I$3:$J$5,2,0)*VLOOKUP(AI223,'Look Ups'!$L$3:$M$7,2,0)*IF(AJ223="",1,VLOOKUP(AJ223,'Look Ups'!$O$3:$P$4,2,0)))</f>
        <v>0.995</v>
      </c>
      <c r="AL223" s="83">
        <v>13.26</v>
      </c>
      <c r="AM223" s="91">
        <v>13.18</v>
      </c>
      <c r="AN223" s="91">
        <v>4.47</v>
      </c>
      <c r="AO223" s="91">
        <v>0.2</v>
      </c>
      <c r="AP223" s="91">
        <v>0.46</v>
      </c>
      <c r="AQ223" s="91">
        <v>13.27</v>
      </c>
      <c r="AR223" s="91">
        <v>0.19</v>
      </c>
      <c r="AS223" s="91">
        <v>4.54</v>
      </c>
      <c r="AT223" s="91">
        <v>0.13</v>
      </c>
      <c r="AU223" s="91">
        <v>0</v>
      </c>
      <c r="AV223" s="91" t="s">
        <v>148</v>
      </c>
      <c r="AW223" s="97">
        <v>0</v>
      </c>
      <c r="AX223" s="256">
        <f t="shared" si="66"/>
        <v>13.4</v>
      </c>
      <c r="AY223" s="256">
        <f t="shared" si="67"/>
        <v>0</v>
      </c>
      <c r="AZ223" s="275">
        <f>IF(C223="",0,(0.5*(_ML1*LPM)+0.5*(_ML1*HB)+0.66*(P*PR)+0.66*(_ML2*RDM)+0.66*(E*ER))*VLOOKUP(BATT,'Look Ups'!$U$3:$V$4,2,0))</f>
        <v>37.017138000000003</v>
      </c>
      <c r="BA223" s="98"/>
      <c r="BB223" s="99"/>
      <c r="BC223" s="83">
        <v>13.83</v>
      </c>
      <c r="BD223" s="91">
        <v>6.33</v>
      </c>
      <c r="BE223" s="91">
        <v>6.46</v>
      </c>
      <c r="BF223" s="91">
        <v>0.19</v>
      </c>
      <c r="BG223" s="91">
        <v>12.83</v>
      </c>
      <c r="BH223" s="91"/>
      <c r="BI223" s="91"/>
      <c r="BJ223" s="91">
        <v>-0.37</v>
      </c>
      <c r="BK223" s="91">
        <v>0</v>
      </c>
      <c r="BL223" s="97"/>
      <c r="BM223" s="275">
        <f t="shared" si="68"/>
        <v>41.448948000000009</v>
      </c>
      <c r="BN223" s="319"/>
      <c r="BO223" s="320"/>
      <c r="BP223" s="321"/>
      <c r="BQ223" s="321"/>
      <c r="BR223" s="320"/>
      <c r="BS223" s="321"/>
      <c r="BT223" s="321"/>
      <c r="BU223" s="280">
        <f t="shared" si="69"/>
        <v>0</v>
      </c>
      <c r="BV223" s="322"/>
      <c r="BW223" s="320"/>
      <c r="BX223" s="320"/>
      <c r="BY223" s="320"/>
      <c r="BZ223" s="320"/>
      <c r="CA223" s="320"/>
      <c r="CB223" s="320"/>
      <c r="CC223" s="275">
        <f t="shared" si="70"/>
        <v>0</v>
      </c>
      <c r="CD223" s="98">
        <v>9.39</v>
      </c>
      <c r="CE223" s="91">
        <v>14.99</v>
      </c>
      <c r="CF223" s="91">
        <v>14.99</v>
      </c>
      <c r="CG223" s="91">
        <v>9.5399999999999991</v>
      </c>
      <c r="CH223" s="266">
        <f t="shared" si="71"/>
        <v>101.59744408945686</v>
      </c>
      <c r="CI223" s="320"/>
      <c r="CJ223" s="280">
        <f t="shared" si="72"/>
        <v>118.79575</v>
      </c>
      <c r="CK223" s="83"/>
      <c r="CL223" s="91"/>
      <c r="CM223" s="91"/>
      <c r="CN223" s="91"/>
      <c r="CO223" s="256" t="str">
        <f t="shared" si="73"/>
        <v/>
      </c>
      <c r="CP223" s="320"/>
      <c r="CQ223" s="256">
        <f t="shared" si="74"/>
        <v>0</v>
      </c>
      <c r="CR223" s="256" t="str">
        <f>IF(CO223&lt;'Look Ups'!$AC$4,"Yes","No")</f>
        <v>No</v>
      </c>
      <c r="CS223" s="293">
        <f>IF(CR223="Yes",MIN(150,('Look Ups'!$AC$4-PSCR)/('Look Ups'!$AC$4-'Look Ups'!$AC$3)*100),0)</f>
        <v>0</v>
      </c>
      <c r="CT223" s="83"/>
      <c r="CU223" s="91"/>
      <c r="CV223" s="91"/>
      <c r="CW223" s="91"/>
      <c r="CX223" s="256" t="str">
        <f t="shared" si="75"/>
        <v/>
      </c>
      <c r="CY223" s="293">
        <f>IF(PUSCR&lt;'Look Ups'!$AC$4,MIN(150,('Look Ups'!$AC$4-PUSCR)/('Look Ups'!$AC$4-'Look Ups'!$AC$3)*100),0)</f>
        <v>0</v>
      </c>
      <c r="CZ223" s="275">
        <f>IF(PUSCR&lt;'Look Ups'!$AC$4,USCRF*(USCRL1+USCRL2)/4+(USCRMG-USCRF/2)*(USCRL1+USCRL2)/3,0)</f>
        <v>0</v>
      </c>
      <c r="DA223" s="294">
        <f t="shared" si="76"/>
        <v>1</v>
      </c>
      <c r="DB223" s="256">
        <f t="shared" si="77"/>
        <v>37.017138000000003</v>
      </c>
      <c r="DC223" s="256">
        <f t="shared" si="78"/>
        <v>1</v>
      </c>
      <c r="DD223" s="256">
        <f t="shared" si="79"/>
        <v>41.448948000000009</v>
      </c>
      <c r="DE223" s="256">
        <f>IF(AZ223&gt;0,'Look Ups'!$S$3,0)</f>
        <v>1</v>
      </c>
      <c r="DF223" s="256">
        <f t="shared" si="80"/>
        <v>0</v>
      </c>
      <c r="DG223" s="256">
        <f t="shared" si="81"/>
        <v>0</v>
      </c>
      <c r="DH223" s="256">
        <f t="shared" si="82"/>
        <v>0</v>
      </c>
      <c r="DI223" s="280">
        <f t="shared" si="83"/>
        <v>0</v>
      </c>
      <c r="DJ223" s="295" t="str">
        <f t="shared" si="84"/>
        <v>-</v>
      </c>
      <c r="DK223" s="266" t="str">
        <f t="shared" si="85"/>
        <v>valid</v>
      </c>
      <c r="DL223" s="267" t="str">
        <f t="shared" si="86"/>
        <v>MGSP</v>
      </c>
      <c r="DM223" s="294">
        <f t="shared" si="87"/>
        <v>78.466086000000018</v>
      </c>
      <c r="DN223" s="256">
        <f>IF(MSASP&gt;0,'Look Ups'!$AI$4*(ZVAL*MSASP-RSAG),0)</f>
        <v>23.204040599999999</v>
      </c>
      <c r="DO223" s="256">
        <f>IF(AND(MSASC&gt;0,(MSASC&gt;=0.36*RSAM)),('Look Ups'!$AI$3*(ZVAL*MSASC-RSAG)),(0))</f>
        <v>0</v>
      </c>
      <c r="DP223" s="256">
        <f>IF(MSASP&gt;0,'Look Ups'!$AI$5*(ZVAL*MSASP-RSAG),0)</f>
        <v>21.657104560000001</v>
      </c>
      <c r="DQ223" s="256">
        <f>IF(MSASC&gt;0,'Look Ups'!$AI$6*(MSASC-RSAG),0)</f>
        <v>0</v>
      </c>
      <c r="DR223" s="280">
        <f>'Look Ups'!$AI$7*MAX(IF(MSAUSC&gt;0,EUSC/100*(MSAUSC-RSAG),0),IF(CR223="Yes",ELSC/100*(MSASC-RSAG),0))</f>
        <v>0</v>
      </c>
      <c r="DS223" s="280">
        <f t="shared" si="88"/>
        <v>13.326169680000001</v>
      </c>
      <c r="DT223" s="296">
        <f t="shared" si="89"/>
        <v>101.67012660000002</v>
      </c>
      <c r="DU223" s="14"/>
    </row>
    <row r="224" spans="1:125" ht="15.6" customHeight="1" x14ac:dyDescent="0.3">
      <c r="A224" s="4"/>
      <c r="B224" s="365"/>
      <c r="C224" s="369" t="s">
        <v>788</v>
      </c>
      <c r="D224" s="370" t="s">
        <v>194</v>
      </c>
      <c r="E224" s="371" t="s">
        <v>543</v>
      </c>
      <c r="F224" s="252">
        <f t="shared" ca="1" si="60"/>
        <v>0.90500000000000003</v>
      </c>
      <c r="G224" s="252" t="str">
        <f ca="1">IF(OR(FLSCR="ERROR",FLSPI="ERROR"),"No",IF(TODAY()-'Look Ups'!$D$4*365&gt;I224,"WP Applied","Yes"))</f>
        <v>WP Applied</v>
      </c>
      <c r="H224" s="253" t="str">
        <f t="shared" si="61"/>
        <v>Main-Genoa-Spinnaker</v>
      </c>
      <c r="I224" s="1">
        <v>39751</v>
      </c>
      <c r="J224" s="1">
        <v>41105</v>
      </c>
      <c r="K224" s="87" t="s">
        <v>359</v>
      </c>
      <c r="L224" s="87" t="s">
        <v>241</v>
      </c>
      <c r="M224" s="207"/>
      <c r="N224" s="88" t="s">
        <v>271</v>
      </c>
      <c r="O224" s="88"/>
      <c r="P224" s="89"/>
      <c r="Q224" s="90">
        <v>7.32</v>
      </c>
      <c r="R224" s="87"/>
      <c r="S224" s="256">
        <f t="shared" si="62"/>
        <v>0.18300000000000002</v>
      </c>
      <c r="T224" s="117">
        <v>0.14000000000000001</v>
      </c>
      <c r="U224" s="117"/>
      <c r="V224" s="258">
        <f t="shared" si="63"/>
        <v>7.1800000000000006</v>
      </c>
      <c r="W224" s="259">
        <f>IF(RL&gt;0,IF(RL&gt;'Look Ups'!Y$7,'Look Ups'!Y$8,('Look Ups'!Y$3*RL^3+'Look Ups'!Y$4*RL^2+'Look Ups'!Y$5*RL+'Look Ups'!Y$6)),0)</f>
        <v>0.29055146565600004</v>
      </c>
      <c r="X224" s="92">
        <v>995</v>
      </c>
      <c r="Y224" s="263">
        <f ca="1">IF(WDATE&lt;(TODAY()-'Look Ups'!$D$4*365),-WM*'Look Ups'!$D$5/100,0)</f>
        <v>-149.25</v>
      </c>
      <c r="Z224" s="103"/>
      <c r="AA224" s="109"/>
      <c r="AB224" s="109"/>
      <c r="AC224" s="265">
        <f>WCD+NC*'Look Ups'!$AF$3</f>
        <v>0</v>
      </c>
      <c r="AD224" s="265">
        <f ca="1">IF(RL&lt;'Look Ups'!AM$3,'Look Ups'!AM$4,IF(RL&gt;'Look Ups'!AM$5,'Look Ups'!AM$6,(RL-'Look Ups'!AM$3)/('Look Ups'!AM$5-'Look Ups'!AM$3)*('Look Ups'!AM$6-'Look Ups'!AM$4)+'Look Ups'!AM$4))/100*WS</f>
        <v>238.96281818181819</v>
      </c>
      <c r="AE224" s="269">
        <f t="shared" ca="1" si="64"/>
        <v>845.75</v>
      </c>
      <c r="AF224" s="267">
        <f t="shared" ca="1" si="65"/>
        <v>845.75</v>
      </c>
      <c r="AG224" s="94" t="s">
        <v>145</v>
      </c>
      <c r="AH224" s="95" t="s">
        <v>146</v>
      </c>
      <c r="AI224" s="96" t="s">
        <v>147</v>
      </c>
      <c r="AJ224" s="218"/>
      <c r="AK224" s="273">
        <f>IF(C224="",0,VLOOKUP(AG224,'Look Ups'!$F$3:$G$6,2,0)*VLOOKUP(AH224,'Look Ups'!$I$3:$J$5,2,0)*VLOOKUP(AI224,'Look Ups'!$L$3:$M$7,2,0)*IF(AJ224="",1,VLOOKUP(AJ224,'Look Ups'!$O$3:$P$4,2,0)))</f>
        <v>1</v>
      </c>
      <c r="AL224" s="83">
        <v>10.02</v>
      </c>
      <c r="AM224" s="91">
        <v>9.85</v>
      </c>
      <c r="AN224" s="91">
        <v>3.1</v>
      </c>
      <c r="AO224" s="91">
        <v>0.74</v>
      </c>
      <c r="AP224" s="91">
        <v>0.89</v>
      </c>
      <c r="AQ224" s="91">
        <v>9.57</v>
      </c>
      <c r="AR224" s="91">
        <v>0.05</v>
      </c>
      <c r="AS224" s="91">
        <v>3.24</v>
      </c>
      <c r="AT224" s="91">
        <v>0</v>
      </c>
      <c r="AU224" s="91">
        <v>0.49</v>
      </c>
      <c r="AV224" s="91" t="s">
        <v>148</v>
      </c>
      <c r="AW224" s="97"/>
      <c r="AX224" s="256">
        <f t="shared" si="66"/>
        <v>9.57</v>
      </c>
      <c r="AY224" s="256">
        <f t="shared" si="67"/>
        <v>1.7584875</v>
      </c>
      <c r="AZ224" s="275">
        <f>IF(C224="",0,(0.5*(_ML1*LPM)+0.5*(_ML1*HB)+0.66*(P*PR)+0.66*(_ML2*RDM)+0.66*(E*ER))*VLOOKUP(BATT,'Look Ups'!$U$3:$V$4,2,0))</f>
        <v>25.3401</v>
      </c>
      <c r="BA224" s="98"/>
      <c r="BB224" s="99"/>
      <c r="BC224" s="83">
        <v>8.82</v>
      </c>
      <c r="BD224" s="91">
        <v>2.5</v>
      </c>
      <c r="BE224" s="91">
        <v>2.81</v>
      </c>
      <c r="BF224" s="91">
        <v>0.12</v>
      </c>
      <c r="BG224" s="91">
        <v>8.77</v>
      </c>
      <c r="BH224" s="91"/>
      <c r="BI224" s="91"/>
      <c r="BJ224" s="91">
        <v>0.31</v>
      </c>
      <c r="BK224" s="91">
        <v>0</v>
      </c>
      <c r="BL224" s="97"/>
      <c r="BM224" s="275">
        <f t="shared" si="68"/>
        <v>13.041894000000001</v>
      </c>
      <c r="BN224" s="319"/>
      <c r="BO224" s="320"/>
      <c r="BP224" s="321"/>
      <c r="BQ224" s="321"/>
      <c r="BR224" s="320"/>
      <c r="BS224" s="321"/>
      <c r="BT224" s="321"/>
      <c r="BU224" s="280">
        <f t="shared" si="69"/>
        <v>0</v>
      </c>
      <c r="BV224" s="322"/>
      <c r="BW224" s="320"/>
      <c r="BX224" s="320"/>
      <c r="BY224" s="320"/>
      <c r="BZ224" s="320"/>
      <c r="CA224" s="320"/>
      <c r="CB224" s="320"/>
      <c r="CC224" s="275">
        <f t="shared" si="70"/>
        <v>0</v>
      </c>
      <c r="CD224" s="98">
        <v>7.5</v>
      </c>
      <c r="CE224" s="91">
        <v>10.9</v>
      </c>
      <c r="CF224" s="91">
        <v>10.4</v>
      </c>
      <c r="CG224" s="91">
        <v>6.17</v>
      </c>
      <c r="CH224" s="266">
        <f t="shared" si="71"/>
        <v>82.266666666666666</v>
      </c>
      <c r="CI224" s="320"/>
      <c r="CJ224" s="280">
        <f t="shared" si="72"/>
        <v>57.119500000000002</v>
      </c>
      <c r="CK224" s="83"/>
      <c r="CL224" s="91"/>
      <c r="CM224" s="91"/>
      <c r="CN224" s="91"/>
      <c r="CO224" s="256" t="str">
        <f t="shared" si="73"/>
        <v/>
      </c>
      <c r="CP224" s="320"/>
      <c r="CQ224" s="256">
        <f t="shared" si="74"/>
        <v>0</v>
      </c>
      <c r="CR224" s="256" t="str">
        <f>IF(CO224&lt;'Look Ups'!$AC$4,"Yes","No")</f>
        <v>No</v>
      </c>
      <c r="CS224" s="293">
        <f>IF(CR224="Yes",MIN(150,('Look Ups'!$AC$4-PSCR)/('Look Ups'!$AC$4-'Look Ups'!$AC$3)*100),0)</f>
        <v>0</v>
      </c>
      <c r="CT224" s="83"/>
      <c r="CU224" s="91"/>
      <c r="CV224" s="91"/>
      <c r="CW224" s="91"/>
      <c r="CX224" s="256" t="str">
        <f t="shared" si="75"/>
        <v/>
      </c>
      <c r="CY224" s="293">
        <f>IF(PUSCR&lt;'Look Ups'!$AC$4,MIN(150,('Look Ups'!$AC$4-PUSCR)/('Look Ups'!$AC$4-'Look Ups'!$AC$3)*100),0)</f>
        <v>0</v>
      </c>
      <c r="CZ224" s="275">
        <f>IF(PUSCR&lt;'Look Ups'!$AC$4,USCRF*(USCRL1+USCRL2)/4+(USCRMG-USCRF/2)*(USCRL1+USCRL2)/3,0)</f>
        <v>0</v>
      </c>
      <c r="DA224" s="294">
        <f t="shared" si="76"/>
        <v>1</v>
      </c>
      <c r="DB224" s="256">
        <f t="shared" si="77"/>
        <v>27.098587500000001</v>
      </c>
      <c r="DC224" s="256">
        <f t="shared" si="78"/>
        <v>1</v>
      </c>
      <c r="DD224" s="256">
        <f t="shared" si="79"/>
        <v>13.041894000000001</v>
      </c>
      <c r="DE224" s="256">
        <f>IF(AZ224&gt;0,'Look Ups'!$S$3,0)</f>
        <v>1</v>
      </c>
      <c r="DF224" s="256">
        <f t="shared" si="80"/>
        <v>0</v>
      </c>
      <c r="DG224" s="256">
        <f t="shared" si="81"/>
        <v>0</v>
      </c>
      <c r="DH224" s="256">
        <f t="shared" si="82"/>
        <v>0</v>
      </c>
      <c r="DI224" s="280">
        <f t="shared" si="83"/>
        <v>0</v>
      </c>
      <c r="DJ224" s="295" t="str">
        <f t="shared" si="84"/>
        <v>-</v>
      </c>
      <c r="DK224" s="266" t="str">
        <f t="shared" si="85"/>
        <v>valid</v>
      </c>
      <c r="DL224" s="267" t="str">
        <f t="shared" si="86"/>
        <v>MGSP</v>
      </c>
      <c r="DM224" s="294">
        <f t="shared" si="87"/>
        <v>40.1404815</v>
      </c>
      <c r="DN224" s="256">
        <f>IF(MSASP&gt;0,'Look Ups'!$AI$4*(ZVAL*MSASP-RSAG),0)</f>
        <v>13.223281800000001</v>
      </c>
      <c r="DO224" s="256">
        <f>IF(AND(MSASC&gt;0,(MSASC&gt;=0.36*RSAM)),('Look Ups'!$AI$3*(ZVAL*MSASC-RSAG)),(0))</f>
        <v>0</v>
      </c>
      <c r="DP224" s="256">
        <f>IF(MSASP&gt;0,'Look Ups'!$AI$5*(ZVAL*MSASP-RSAG),0)</f>
        <v>12.341729680000002</v>
      </c>
      <c r="DQ224" s="256">
        <f>IF(MSASC&gt;0,'Look Ups'!$AI$6*(MSASC-RSAG),0)</f>
        <v>0</v>
      </c>
      <c r="DR224" s="280">
        <f>'Look Ups'!$AI$7*MAX(IF(MSAUSC&gt;0,EUSC/100*(MSAUSC-RSAG),0),IF(CR224="Yes",ELSC/100*(MSASC-RSAG),0))</f>
        <v>0</v>
      </c>
      <c r="DS224" s="280">
        <f t="shared" si="88"/>
        <v>9.7554914999999998</v>
      </c>
      <c r="DT224" s="296">
        <f t="shared" si="89"/>
        <v>53.363763300000002</v>
      </c>
      <c r="DU224" s="14"/>
    </row>
    <row r="225" spans="1:125" ht="15.6" customHeight="1" x14ac:dyDescent="0.3">
      <c r="A225" s="4"/>
      <c r="B225" s="365"/>
      <c r="C225" s="369" t="s">
        <v>789</v>
      </c>
      <c r="D225" s="370" t="s">
        <v>790</v>
      </c>
      <c r="E225" s="371" t="s">
        <v>230</v>
      </c>
      <c r="F225" s="252">
        <f t="shared" ca="1" si="60"/>
        <v>1.0640000000000001</v>
      </c>
      <c r="G225" s="252" t="str">
        <f ca="1">IF(OR(FLSCR="ERROR",FLSPI="ERROR"),"No",IF(TODAY()-'Look Ups'!$D$4*365&gt;I225,"WP Applied","Yes"))</f>
        <v>Yes</v>
      </c>
      <c r="H225" s="253" t="str">
        <f t="shared" si="61"/>
        <v>Main-Genoa-Screacher (Upwind)</v>
      </c>
      <c r="I225" s="1">
        <v>43682</v>
      </c>
      <c r="J225" s="1">
        <v>43682</v>
      </c>
      <c r="K225" s="87" t="s">
        <v>153</v>
      </c>
      <c r="L225" s="87" t="s">
        <v>142</v>
      </c>
      <c r="M225" s="207" t="s">
        <v>791</v>
      </c>
      <c r="N225" s="88" t="s">
        <v>143</v>
      </c>
      <c r="O225" s="88" t="s">
        <v>300</v>
      </c>
      <c r="P225" s="89"/>
      <c r="Q225" s="90">
        <v>9.9700000000000006</v>
      </c>
      <c r="R225" s="87"/>
      <c r="S225" s="256">
        <f t="shared" si="62"/>
        <v>0.24925000000000003</v>
      </c>
      <c r="T225" s="117"/>
      <c r="U225" s="117"/>
      <c r="V225" s="258">
        <f t="shared" si="63"/>
        <v>9.9700000000000006</v>
      </c>
      <c r="W225" s="259">
        <f>IF(RL&gt;0,IF(RL&gt;'Look Ups'!Y$7,'Look Ups'!Y$8,('Look Ups'!Y$3*RL^3+'Look Ups'!Y$4*RL^2+'Look Ups'!Y$5*RL+'Look Ups'!Y$6)),0)</f>
        <v>0.29845763010900001</v>
      </c>
      <c r="X225" s="92">
        <v>1588</v>
      </c>
      <c r="Y225" s="263">
        <f ca="1">IF(WDATE&lt;(TODAY()-'Look Ups'!$D$4*365),-WM*'Look Ups'!$D$5/100,0)</f>
        <v>0</v>
      </c>
      <c r="Z225" s="103"/>
      <c r="AA225" s="109"/>
      <c r="AB225" s="109"/>
      <c r="AC225" s="265">
        <f>WCD+NC*'Look Ups'!$AF$3</f>
        <v>0</v>
      </c>
      <c r="AD225" s="265">
        <f ca="1">IF(RL&lt;'Look Ups'!AM$3,'Look Ups'!AM$4,IF(RL&gt;'Look Ups'!AM$5,'Look Ups'!AM$6,(RL-'Look Ups'!AM$3)/('Look Ups'!AM$5-'Look Ups'!AM$3)*('Look Ups'!AM$6-'Look Ups'!AM$4)+'Look Ups'!AM$4))/100*WS</f>
        <v>287.57236363636355</v>
      </c>
      <c r="AE225" s="269">
        <f t="shared" ca="1" si="64"/>
        <v>1588</v>
      </c>
      <c r="AF225" s="267">
        <f t="shared" ca="1" si="65"/>
        <v>1588</v>
      </c>
      <c r="AG225" s="94" t="s">
        <v>145</v>
      </c>
      <c r="AH225" s="95" t="s">
        <v>146</v>
      </c>
      <c r="AI225" s="96" t="s">
        <v>147</v>
      </c>
      <c r="AJ225" s="218"/>
      <c r="AK225" s="273">
        <f>IF(C225="",0,VLOOKUP(AG225,'Look Ups'!$F$3:$G$6,2,0)*VLOOKUP(AH225,'Look Ups'!$I$3:$J$5,2,0)*VLOOKUP(AI225,'Look Ups'!$L$3:$M$7,2,0)*IF(AJ225="",1,VLOOKUP(AJ225,'Look Ups'!$O$3:$P$4,2,0)))</f>
        <v>1</v>
      </c>
      <c r="AL225" s="83">
        <v>15.65</v>
      </c>
      <c r="AM225" s="91">
        <v>15.35</v>
      </c>
      <c r="AN225" s="91">
        <v>4.18</v>
      </c>
      <c r="AO225" s="91">
        <v>1.67</v>
      </c>
      <c r="AP225" s="91">
        <v>0.38</v>
      </c>
      <c r="AQ225" s="91">
        <v>15.98</v>
      </c>
      <c r="AR225" s="91">
        <v>0.13</v>
      </c>
      <c r="AS225" s="91">
        <v>4.1900000000000004</v>
      </c>
      <c r="AT225" s="91">
        <v>0.14000000000000001</v>
      </c>
      <c r="AU225" s="91">
        <v>0.65</v>
      </c>
      <c r="AV225" s="91" t="s">
        <v>148</v>
      </c>
      <c r="AW225" s="97"/>
      <c r="AX225" s="256">
        <f t="shared" si="66"/>
        <v>16.12</v>
      </c>
      <c r="AY225" s="256">
        <f t="shared" si="67"/>
        <v>3.8951249999999997</v>
      </c>
      <c r="AZ225" s="275">
        <f>IF(C225="",0,(0.5*(_ML1*LPM)+0.5*(_ML1*HB)+0.66*(P*PR)+0.66*(_ML2*RDM)+0.66*(E*ER))*VLOOKUP(BATT,'Look Ups'!$U$3:$V$4,2,0))</f>
        <v>51.384270000000008</v>
      </c>
      <c r="BA225" s="98"/>
      <c r="BB225" s="99"/>
      <c r="BC225" s="83">
        <v>13.6</v>
      </c>
      <c r="BD225" s="91">
        <v>3.6</v>
      </c>
      <c r="BE225" s="91">
        <v>3.87</v>
      </c>
      <c r="BF225" s="91">
        <v>0.2</v>
      </c>
      <c r="BG225" s="91">
        <v>12.63</v>
      </c>
      <c r="BH225" s="91">
        <v>12.5</v>
      </c>
      <c r="BI225" s="91">
        <v>0.37</v>
      </c>
      <c r="BJ225" s="91">
        <v>-0.11</v>
      </c>
      <c r="BK225" s="91">
        <v>0.04</v>
      </c>
      <c r="BL225" s="97"/>
      <c r="BM225" s="275">
        <f t="shared" si="68"/>
        <v>26.778930000000003</v>
      </c>
      <c r="BN225" s="319"/>
      <c r="BO225" s="320"/>
      <c r="BP225" s="321"/>
      <c r="BQ225" s="321"/>
      <c r="BR225" s="320"/>
      <c r="BS225" s="321"/>
      <c r="BT225" s="321"/>
      <c r="BU225" s="280">
        <f t="shared" si="69"/>
        <v>0</v>
      </c>
      <c r="BV225" s="322"/>
      <c r="BW225" s="320"/>
      <c r="BX225" s="320"/>
      <c r="BY225" s="320"/>
      <c r="BZ225" s="320"/>
      <c r="CA225" s="320"/>
      <c r="CB225" s="320"/>
      <c r="CC225" s="275">
        <f t="shared" si="70"/>
        <v>0</v>
      </c>
      <c r="CD225" s="98"/>
      <c r="CE225" s="91"/>
      <c r="CF225" s="91"/>
      <c r="CG225" s="91"/>
      <c r="CH225" s="266" t="str">
        <f t="shared" si="71"/>
        <v/>
      </c>
      <c r="CI225" s="320"/>
      <c r="CJ225" s="280">
        <f t="shared" si="72"/>
        <v>0</v>
      </c>
      <c r="CK225" s="83">
        <v>8.7100000000000009</v>
      </c>
      <c r="CL225" s="91">
        <v>16.850000000000001</v>
      </c>
      <c r="CM225" s="91">
        <v>15.23</v>
      </c>
      <c r="CN225" s="91">
        <v>4.41</v>
      </c>
      <c r="CO225" s="256">
        <f t="shared" si="73"/>
        <v>50.631458094144655</v>
      </c>
      <c r="CP225" s="320"/>
      <c r="CQ225" s="256">
        <f t="shared" si="74"/>
        <v>70.442333333333337</v>
      </c>
      <c r="CR225" s="256" t="str">
        <f>IF(CO225&lt;'Look Ups'!$AC$4,"Yes","No")</f>
        <v>Yes</v>
      </c>
      <c r="CS225" s="293">
        <f>IF(CR225="Yes",MIN(150,('Look Ups'!$AC$4-PSCR)/('Look Ups'!$AC$4-'Look Ups'!$AC$3)*100),0)</f>
        <v>27.370838117106899</v>
      </c>
      <c r="CT225" s="83"/>
      <c r="CU225" s="91"/>
      <c r="CV225" s="91"/>
      <c r="CW225" s="91"/>
      <c r="CX225" s="256" t="str">
        <f t="shared" si="75"/>
        <v/>
      </c>
      <c r="CY225" s="293">
        <f>IF(PUSCR&lt;'Look Ups'!$AC$4,MIN(150,('Look Ups'!$AC$4-PUSCR)/('Look Ups'!$AC$4-'Look Ups'!$AC$3)*100),0)</f>
        <v>0</v>
      </c>
      <c r="CZ225" s="275">
        <f>IF(PUSCR&lt;'Look Ups'!$AC$4,USCRF*(USCRL1+USCRL2)/4+(USCRMG-USCRF/2)*(USCRL1+USCRL2)/3,0)</f>
        <v>0</v>
      </c>
      <c r="DA225" s="294">
        <f t="shared" si="76"/>
        <v>1</v>
      </c>
      <c r="DB225" s="256">
        <f t="shared" si="77"/>
        <v>55.279395000000008</v>
      </c>
      <c r="DC225" s="256">
        <f t="shared" si="78"/>
        <v>1</v>
      </c>
      <c r="DD225" s="256">
        <f t="shared" si="79"/>
        <v>26.778930000000003</v>
      </c>
      <c r="DE225" s="256">
        <f>IF(AZ225&gt;0,'Look Ups'!$S$3,0)</f>
        <v>1</v>
      </c>
      <c r="DF225" s="256">
        <f t="shared" si="80"/>
        <v>0</v>
      </c>
      <c r="DG225" s="256">
        <f t="shared" si="81"/>
        <v>0</v>
      </c>
      <c r="DH225" s="256">
        <f t="shared" si="82"/>
        <v>0</v>
      </c>
      <c r="DI225" s="280">
        <f t="shared" si="83"/>
        <v>0</v>
      </c>
      <c r="DJ225" s="295" t="str">
        <f t="shared" si="84"/>
        <v>valid</v>
      </c>
      <c r="DK225" s="266" t="str">
        <f t="shared" si="85"/>
        <v>-</v>
      </c>
      <c r="DL225" s="267" t="str">
        <f t="shared" si="86"/>
        <v>MGScr</v>
      </c>
      <c r="DM225" s="294">
        <f t="shared" si="87"/>
        <v>82.058325000000011</v>
      </c>
      <c r="DN225" s="256">
        <f>IF(MSASP&gt;0,'Look Ups'!$AI$4*(ZVAL*MSASP-RSAG),0)</f>
        <v>0</v>
      </c>
      <c r="DO225" s="256">
        <f>IF(AND(MSASC&gt;0,(MSASC&gt;=0.36*RSAM)),('Look Ups'!$AI$3*(ZVAL*MSASC-RSAG)),(0))</f>
        <v>15.282191166666665</v>
      </c>
      <c r="DP225" s="256">
        <f>IF(MSASP&gt;0,'Look Ups'!$AI$5*(ZVAL*MSASP-RSAG),0)</f>
        <v>0</v>
      </c>
      <c r="DQ225" s="256">
        <f>IF(MSASC&gt;0,'Look Ups'!$AI$6*(MSASC-RSAG),0)</f>
        <v>3.0564382333333335</v>
      </c>
      <c r="DR225" s="280">
        <f>'Look Ups'!$AI$7*MAX(IF(MSAUSC&gt;0,EUSC/100*(MSAUSC-RSAG),0),IF(CR225="Yes",ELSC/100*(MSASC-RSAG),0))</f>
        <v>2.9877598606965314</v>
      </c>
      <c r="DS225" s="280">
        <f t="shared" si="88"/>
        <v>19.900582200000002</v>
      </c>
      <c r="DT225" s="296">
        <f t="shared" si="89"/>
        <v>100.3282760273632</v>
      </c>
      <c r="DU225" s="14"/>
    </row>
    <row r="226" spans="1:125" ht="15.6" customHeight="1" x14ac:dyDescent="0.3">
      <c r="A226" s="4"/>
      <c r="B226" s="365"/>
      <c r="C226" s="369" t="s">
        <v>792</v>
      </c>
      <c r="D226" s="370"/>
      <c r="E226" s="371" t="s">
        <v>793</v>
      </c>
      <c r="F226" s="252">
        <f t="shared" ca="1" si="60"/>
        <v>0.71499999999999997</v>
      </c>
      <c r="G226" s="252" t="str">
        <f ca="1">IF(OR(FLSCR="ERROR",FLSPI="ERROR"),"No",IF(TODAY()-'Look Ups'!$D$4*365&gt;I226,"WP Applied","Yes"))</f>
        <v>WP Applied</v>
      </c>
      <c r="H226" s="253" t="str">
        <f t="shared" si="61"/>
        <v>Main-Genoa-Screacher</v>
      </c>
      <c r="I226" s="1">
        <v>39757</v>
      </c>
      <c r="J226" s="1">
        <v>39757</v>
      </c>
      <c r="K226" s="87"/>
      <c r="L226" s="87" t="s">
        <v>241</v>
      </c>
      <c r="M226" s="207"/>
      <c r="N226" s="88"/>
      <c r="O226" s="88"/>
      <c r="P226" s="89"/>
      <c r="Q226" s="90">
        <v>13.5</v>
      </c>
      <c r="R226" s="87"/>
      <c r="S226" s="256">
        <f t="shared" si="62"/>
        <v>0.33750000000000002</v>
      </c>
      <c r="T226" s="117">
        <v>0.5</v>
      </c>
      <c r="U226" s="117"/>
      <c r="V226" s="258">
        <f t="shared" si="63"/>
        <v>13</v>
      </c>
      <c r="W226" s="259">
        <f>IF(RL&gt;0,IF(RL&gt;'Look Ups'!Y$7,'Look Ups'!Y$8,('Look Ups'!Y$3*RL^3+'Look Ups'!Y$4*RL^2+'Look Ups'!Y$5*RL+'Look Ups'!Y$6)),0)</f>
        <v>0.3</v>
      </c>
      <c r="X226" s="92">
        <v>6250</v>
      </c>
      <c r="Y226" s="263">
        <f ca="1">IF(WDATE&lt;(TODAY()-'Look Ups'!$D$4*365),-WM*'Look Ups'!$D$5/100,0)</f>
        <v>-937.5</v>
      </c>
      <c r="Z226" s="103"/>
      <c r="AA226" s="109"/>
      <c r="AB226" s="109"/>
      <c r="AC226" s="265">
        <f>WCD+NC*'Look Ups'!$AF$3</f>
        <v>0</v>
      </c>
      <c r="AD226" s="265">
        <f ca="1">IF(RL&lt;'Look Ups'!AM$3,'Look Ups'!AM$4,IF(RL&gt;'Look Ups'!AM$5,'Look Ups'!AM$6,(RL-'Look Ups'!AM$3)/('Look Ups'!AM$5-'Look Ups'!AM$3)*('Look Ups'!AM$6-'Look Ups'!AM$4)+'Look Ups'!AM$4))/100*WS</f>
        <v>531.25</v>
      </c>
      <c r="AE226" s="269">
        <f t="shared" ca="1" si="64"/>
        <v>5312.5</v>
      </c>
      <c r="AF226" s="267">
        <f t="shared" ca="1" si="65"/>
        <v>5312.5</v>
      </c>
      <c r="AG226" s="94" t="s">
        <v>145</v>
      </c>
      <c r="AH226" s="95" t="s">
        <v>146</v>
      </c>
      <c r="AI226" s="96" t="s">
        <v>147</v>
      </c>
      <c r="AJ226" s="218"/>
      <c r="AK226" s="273">
        <f>IF(C226="",0,VLOOKUP(AG226,'Look Ups'!$F$3:$G$6,2,0)*VLOOKUP(AH226,'Look Ups'!$I$3:$J$5,2,0)*VLOOKUP(AI226,'Look Ups'!$L$3:$M$7,2,0)*IF(AJ226="",1,VLOOKUP(AJ226,'Look Ups'!$O$3:$P$4,2,0)))</f>
        <v>1</v>
      </c>
      <c r="AL226" s="83">
        <v>14.34</v>
      </c>
      <c r="AM226" s="91">
        <v>13.65</v>
      </c>
      <c r="AN226" s="91">
        <v>4.7</v>
      </c>
      <c r="AO226" s="91">
        <v>1</v>
      </c>
      <c r="AP226" s="91">
        <v>0.60000000000000009</v>
      </c>
      <c r="AQ226" s="91">
        <v>14.2</v>
      </c>
      <c r="AR226" s="91">
        <v>0.15</v>
      </c>
      <c r="AS226" s="91">
        <v>4.9000000000000004</v>
      </c>
      <c r="AT226" s="91"/>
      <c r="AU226" s="91"/>
      <c r="AV226" s="91" t="s">
        <v>148</v>
      </c>
      <c r="AW226" s="97"/>
      <c r="AX226" s="256">
        <f t="shared" si="66"/>
        <v>14.2</v>
      </c>
      <c r="AY226" s="256">
        <f t="shared" si="67"/>
        <v>0</v>
      </c>
      <c r="AZ226" s="275">
        <f>IF(C226="",0,(0.5*(_ML1*LPM)+0.5*(_ML1*HB)+0.66*(P*PR)+0.66*(_ML2*RDM)+0.66*(E*ER))*VLOOKUP(BATT,'Look Ups'!$U$3:$V$4,2,0))</f>
        <v>47.680199999999999</v>
      </c>
      <c r="BA226" s="98"/>
      <c r="BB226" s="99"/>
      <c r="BC226" s="83">
        <v>11.75</v>
      </c>
      <c r="BD226" s="91">
        <v>3</v>
      </c>
      <c r="BE226" s="91">
        <v>3.4</v>
      </c>
      <c r="BF226" s="91">
        <v>0.08</v>
      </c>
      <c r="BG226" s="91">
        <v>13</v>
      </c>
      <c r="BH226" s="91"/>
      <c r="BI226" s="91"/>
      <c r="BJ226" s="91">
        <v>0</v>
      </c>
      <c r="BK226" s="91">
        <v>-0.30000000000000004</v>
      </c>
      <c r="BL226" s="97"/>
      <c r="BM226" s="275">
        <f t="shared" si="68"/>
        <v>15.478019999999999</v>
      </c>
      <c r="BN226" s="319"/>
      <c r="BO226" s="320"/>
      <c r="BP226" s="321"/>
      <c r="BQ226" s="321"/>
      <c r="BR226" s="320"/>
      <c r="BS226" s="321"/>
      <c r="BT226" s="321"/>
      <c r="BU226" s="280">
        <f t="shared" si="69"/>
        <v>0</v>
      </c>
      <c r="BV226" s="322"/>
      <c r="BW226" s="320"/>
      <c r="BX226" s="320"/>
      <c r="BY226" s="320"/>
      <c r="BZ226" s="320"/>
      <c r="CA226" s="320"/>
      <c r="CB226" s="320"/>
      <c r="CC226" s="275">
        <f t="shared" si="70"/>
        <v>0</v>
      </c>
      <c r="CD226" s="98"/>
      <c r="CE226" s="91"/>
      <c r="CF226" s="91"/>
      <c r="CG226" s="91"/>
      <c r="CH226" s="266" t="str">
        <f t="shared" si="71"/>
        <v/>
      </c>
      <c r="CI226" s="320"/>
      <c r="CJ226" s="280">
        <f t="shared" si="72"/>
        <v>0</v>
      </c>
      <c r="CK226" s="83">
        <v>8.3000000000000007</v>
      </c>
      <c r="CL226" s="91">
        <v>14.9</v>
      </c>
      <c r="CM226" s="91">
        <v>13.9</v>
      </c>
      <c r="CN226" s="91">
        <v>4.7</v>
      </c>
      <c r="CO226" s="256">
        <f t="shared" si="73"/>
        <v>56.626506024096379</v>
      </c>
      <c r="CP226" s="320"/>
      <c r="CQ226" s="256">
        <f t="shared" si="74"/>
        <v>65.040000000000006</v>
      </c>
      <c r="CR226" s="256" t="str">
        <f>IF(CO226&lt;'Look Ups'!$AC$4,"Yes","No")</f>
        <v>No</v>
      </c>
      <c r="CS226" s="293">
        <f>IF(CR226="Yes",MIN(150,('Look Ups'!$AC$4-PSCR)/('Look Ups'!$AC$4-'Look Ups'!$AC$3)*100),0)</f>
        <v>0</v>
      </c>
      <c r="CT226" s="83"/>
      <c r="CU226" s="91"/>
      <c r="CV226" s="91"/>
      <c r="CW226" s="91"/>
      <c r="CX226" s="256" t="str">
        <f t="shared" si="75"/>
        <v/>
      </c>
      <c r="CY226" s="293">
        <f>IF(PUSCR&lt;'Look Ups'!$AC$4,MIN(150,('Look Ups'!$AC$4-PUSCR)/('Look Ups'!$AC$4-'Look Ups'!$AC$3)*100),0)</f>
        <v>0</v>
      </c>
      <c r="CZ226" s="275">
        <f>IF(PUSCR&lt;'Look Ups'!$AC$4,USCRF*(USCRL1+USCRL2)/4+(USCRMG-USCRF/2)*(USCRL1+USCRL2)/3,0)</f>
        <v>0</v>
      </c>
      <c r="DA226" s="294">
        <f t="shared" si="76"/>
        <v>1</v>
      </c>
      <c r="DB226" s="256">
        <f t="shared" si="77"/>
        <v>47.680199999999999</v>
      </c>
      <c r="DC226" s="256">
        <f t="shared" si="78"/>
        <v>1</v>
      </c>
      <c r="DD226" s="256">
        <f t="shared" si="79"/>
        <v>15.478019999999999</v>
      </c>
      <c r="DE226" s="256">
        <f>IF(AZ226&gt;0,'Look Ups'!$S$3,0)</f>
        <v>1</v>
      </c>
      <c r="DF226" s="256">
        <f t="shared" si="80"/>
        <v>0</v>
      </c>
      <c r="DG226" s="256">
        <f t="shared" si="81"/>
        <v>0</v>
      </c>
      <c r="DH226" s="256">
        <f t="shared" si="82"/>
        <v>0</v>
      </c>
      <c r="DI226" s="280">
        <f t="shared" si="83"/>
        <v>0</v>
      </c>
      <c r="DJ226" s="295" t="str">
        <f t="shared" si="84"/>
        <v>valid</v>
      </c>
      <c r="DK226" s="266" t="str">
        <f t="shared" si="85"/>
        <v>-</v>
      </c>
      <c r="DL226" s="267" t="str">
        <f t="shared" si="86"/>
        <v>MGScr</v>
      </c>
      <c r="DM226" s="294">
        <f t="shared" si="87"/>
        <v>63.15822</v>
      </c>
      <c r="DN226" s="256">
        <f>IF(MSASP&gt;0,'Look Ups'!$AI$4*(ZVAL*MSASP-RSAG),0)</f>
        <v>0</v>
      </c>
      <c r="DO226" s="256">
        <f>IF(AND(MSASC&gt;0,(MSASC&gt;=0.36*RSAM)),('Look Ups'!$AI$3*(ZVAL*MSASC-RSAG)),(0))</f>
        <v>17.346693000000002</v>
      </c>
      <c r="DP226" s="256">
        <f>IF(MSASP&gt;0,'Look Ups'!$AI$5*(ZVAL*MSASP-RSAG),0)</f>
        <v>0</v>
      </c>
      <c r="DQ226" s="256">
        <f>IF(MSASC&gt;0,'Look Ups'!$AI$6*(MSASC-RSAG),0)</f>
        <v>3.4693386000000008</v>
      </c>
      <c r="DR226" s="280">
        <f>'Look Ups'!$AI$7*MAX(IF(MSAUSC&gt;0,EUSC/100*(MSAUSC-RSAG),0),IF(CR226="Yes",ELSC/100*(MSASC-RSAG),0))</f>
        <v>0</v>
      </c>
      <c r="DS226" s="280">
        <f t="shared" si="88"/>
        <v>17.164871999999999</v>
      </c>
      <c r="DT226" s="296">
        <f t="shared" si="89"/>
        <v>80.504913000000002</v>
      </c>
      <c r="DU226" s="14"/>
    </row>
    <row r="227" spans="1:125" ht="15.6" customHeight="1" x14ac:dyDescent="0.3">
      <c r="A227" s="4"/>
      <c r="B227" s="365"/>
      <c r="C227" s="369" t="s">
        <v>381</v>
      </c>
      <c r="D227" s="370" t="s">
        <v>794</v>
      </c>
      <c r="E227" s="371" t="s">
        <v>795</v>
      </c>
      <c r="F227" s="252">
        <f t="shared" ca="1" si="60"/>
        <v>0.9</v>
      </c>
      <c r="G227" s="252" t="str">
        <f ca="1">IF(OR(FLSCR="ERROR",FLSPI="ERROR"),"No",IF(TODAY()-'Look Ups'!$D$4*365&gt;I227,"WP Applied","Yes"))</f>
        <v>WP Applied</v>
      </c>
      <c r="H227" s="253" t="str">
        <f t="shared" si="61"/>
        <v>Main-Genoa-Spinnaker</v>
      </c>
      <c r="I227" s="1">
        <v>38428</v>
      </c>
      <c r="J227" s="1"/>
      <c r="K227" s="87" t="s">
        <v>445</v>
      </c>
      <c r="L227" s="87" t="s">
        <v>182</v>
      </c>
      <c r="M227" s="207"/>
      <c r="N227" s="88" t="s">
        <v>271</v>
      </c>
      <c r="O227" s="88"/>
      <c r="P227" s="89">
        <v>6.1</v>
      </c>
      <c r="Q227" s="90">
        <v>8.74</v>
      </c>
      <c r="R227" s="87"/>
      <c r="S227" s="256">
        <f t="shared" si="62"/>
        <v>0.21850000000000003</v>
      </c>
      <c r="T227" s="117">
        <v>0.18</v>
      </c>
      <c r="U227" s="117">
        <v>0</v>
      </c>
      <c r="V227" s="258">
        <f t="shared" si="63"/>
        <v>8.56</v>
      </c>
      <c r="W227" s="259">
        <f>IF(RL&gt;0,IF(RL&gt;'Look Ups'!Y$7,'Look Ups'!Y$8,('Look Ups'!Y$3*RL^3+'Look Ups'!Y$4*RL^2+'Look Ups'!Y$5*RL+'Look Ups'!Y$6)),0)</f>
        <v>0.29553528652800004</v>
      </c>
      <c r="X227" s="92">
        <v>1598</v>
      </c>
      <c r="Y227" s="263">
        <f ca="1">IF(WDATE&lt;(TODAY()-'Look Ups'!$D$4*365),-WM*'Look Ups'!$D$5/100,0)</f>
        <v>-239.7</v>
      </c>
      <c r="Z227" s="103"/>
      <c r="AA227" s="109"/>
      <c r="AB227" s="109"/>
      <c r="AC227" s="265">
        <f>WCD+NC*'Look Ups'!$AF$3</f>
        <v>0</v>
      </c>
      <c r="AD227" s="265">
        <f ca="1">IF(RL&lt;'Look Ups'!AM$3,'Look Ups'!AM$4,IF(RL&gt;'Look Ups'!AM$5,'Look Ups'!AM$6,(RL-'Look Ups'!AM$3)/('Look Ups'!AM$5-'Look Ups'!AM$3)*('Look Ups'!AM$6-'Look Ups'!AM$4)+'Look Ups'!AM$4))/100*WS</f>
        <v>315.61952727272723</v>
      </c>
      <c r="AE227" s="269">
        <f t="shared" ca="1" si="64"/>
        <v>1358.3</v>
      </c>
      <c r="AF227" s="267">
        <f t="shared" ca="1" si="65"/>
        <v>1358.3</v>
      </c>
      <c r="AG227" s="94" t="s">
        <v>145</v>
      </c>
      <c r="AH227" s="95" t="s">
        <v>146</v>
      </c>
      <c r="AI227" s="96" t="s">
        <v>147</v>
      </c>
      <c r="AJ227" s="218"/>
      <c r="AK227" s="273">
        <f>IF(C227="",0,VLOOKUP(AG227,'Look Ups'!$F$3:$G$6,2,0)*VLOOKUP(AH227,'Look Ups'!$I$3:$J$5,2,0)*VLOOKUP(AI227,'Look Ups'!$L$3:$M$7,2,0)*IF(AJ227="",1,VLOOKUP(AJ227,'Look Ups'!$O$3:$P$4,2,0)))</f>
        <v>1</v>
      </c>
      <c r="AL227" s="83">
        <v>11.21</v>
      </c>
      <c r="AM227" s="91">
        <v>10.49</v>
      </c>
      <c r="AN227" s="91">
        <v>3.47</v>
      </c>
      <c r="AO227" s="91">
        <v>0.76</v>
      </c>
      <c r="AP227" s="91">
        <v>1.04</v>
      </c>
      <c r="AQ227" s="91">
        <v>10.85</v>
      </c>
      <c r="AR227" s="91">
        <v>0.17</v>
      </c>
      <c r="AS227" s="91">
        <v>3.6</v>
      </c>
      <c r="AT227" s="91">
        <v>0.03</v>
      </c>
      <c r="AU227" s="91">
        <v>0.48</v>
      </c>
      <c r="AV227" s="91" t="s">
        <v>148</v>
      </c>
      <c r="AW227" s="97">
        <v>0</v>
      </c>
      <c r="AX227" s="256">
        <f t="shared" si="66"/>
        <v>10.879999999999999</v>
      </c>
      <c r="AY227" s="256">
        <f t="shared" si="67"/>
        <v>1.9529999999999998</v>
      </c>
      <c r="AZ227" s="275">
        <f>IF(C227="",0,(0.5*(_ML1*LPM)+0.5*(_ML1*HB)+0.66*(P*PR)+0.66*(_ML2*RDM)+0.66*(E*ER))*VLOOKUP(BATT,'Look Ups'!$U$3:$V$4,2,0))</f>
        <v>32.198136000000005</v>
      </c>
      <c r="BA227" s="98"/>
      <c r="BB227" s="99"/>
      <c r="BC227" s="83">
        <v>9.44</v>
      </c>
      <c r="BD227" s="91">
        <v>3.36</v>
      </c>
      <c r="BE227" s="91">
        <v>3.69</v>
      </c>
      <c r="BF227" s="91">
        <v>0.15</v>
      </c>
      <c r="BG227" s="91">
        <v>8.61</v>
      </c>
      <c r="BH227" s="91"/>
      <c r="BI227" s="91"/>
      <c r="BJ227" s="91">
        <v>0.15</v>
      </c>
      <c r="BK227" s="91">
        <v>0.05</v>
      </c>
      <c r="BL227" s="97"/>
      <c r="BM227" s="275">
        <f t="shared" si="68"/>
        <v>17.38842</v>
      </c>
      <c r="BN227" s="319"/>
      <c r="BO227" s="320"/>
      <c r="BP227" s="321"/>
      <c r="BQ227" s="321"/>
      <c r="BR227" s="320"/>
      <c r="BS227" s="321"/>
      <c r="BT227" s="321"/>
      <c r="BU227" s="280">
        <f t="shared" si="69"/>
        <v>0</v>
      </c>
      <c r="BV227" s="322"/>
      <c r="BW227" s="320"/>
      <c r="BX227" s="320"/>
      <c r="BY227" s="320"/>
      <c r="BZ227" s="320"/>
      <c r="CA227" s="320"/>
      <c r="CB227" s="320"/>
      <c r="CC227" s="275">
        <f t="shared" si="70"/>
        <v>0</v>
      </c>
      <c r="CD227" s="98">
        <v>8.35</v>
      </c>
      <c r="CE227" s="91">
        <v>11.72</v>
      </c>
      <c r="CF227" s="91">
        <v>10.26</v>
      </c>
      <c r="CG227" s="91">
        <v>7</v>
      </c>
      <c r="CH227" s="266">
        <f t="shared" si="71"/>
        <v>83.832335329341319</v>
      </c>
      <c r="CI227" s="320"/>
      <c r="CJ227" s="280">
        <f t="shared" si="72"/>
        <v>66.581083333333339</v>
      </c>
      <c r="CK227" s="83"/>
      <c r="CL227" s="91"/>
      <c r="CM227" s="91"/>
      <c r="CN227" s="91"/>
      <c r="CO227" s="256" t="str">
        <f t="shared" si="73"/>
        <v/>
      </c>
      <c r="CP227" s="320"/>
      <c r="CQ227" s="256">
        <f t="shared" si="74"/>
        <v>0</v>
      </c>
      <c r="CR227" s="256" t="str">
        <f>IF(CO227&lt;'Look Ups'!$AC$4,"Yes","No")</f>
        <v>No</v>
      </c>
      <c r="CS227" s="293">
        <f>IF(CR227="Yes",MIN(150,('Look Ups'!$AC$4-PSCR)/('Look Ups'!$AC$4-'Look Ups'!$AC$3)*100),0)</f>
        <v>0</v>
      </c>
      <c r="CT227" s="83"/>
      <c r="CU227" s="91"/>
      <c r="CV227" s="91"/>
      <c r="CW227" s="91"/>
      <c r="CX227" s="256" t="str">
        <f t="shared" si="75"/>
        <v/>
      </c>
      <c r="CY227" s="293">
        <f>IF(PUSCR&lt;'Look Ups'!$AC$4,MIN(150,('Look Ups'!$AC$4-PUSCR)/('Look Ups'!$AC$4-'Look Ups'!$AC$3)*100),0)</f>
        <v>0</v>
      </c>
      <c r="CZ227" s="275">
        <f>IF(PUSCR&lt;'Look Ups'!$AC$4,USCRF*(USCRL1+USCRL2)/4+(USCRMG-USCRF/2)*(USCRL1+USCRL2)/3,0)</f>
        <v>0</v>
      </c>
      <c r="DA227" s="294">
        <f t="shared" si="76"/>
        <v>1</v>
      </c>
      <c r="DB227" s="256">
        <f t="shared" si="77"/>
        <v>34.151136000000008</v>
      </c>
      <c r="DC227" s="256">
        <f t="shared" si="78"/>
        <v>1</v>
      </c>
      <c r="DD227" s="256">
        <f t="shared" si="79"/>
        <v>17.38842</v>
      </c>
      <c r="DE227" s="256">
        <f>IF(AZ227&gt;0,'Look Ups'!$S$3,0)</f>
        <v>1</v>
      </c>
      <c r="DF227" s="256">
        <f t="shared" si="80"/>
        <v>0</v>
      </c>
      <c r="DG227" s="256">
        <f t="shared" si="81"/>
        <v>0</v>
      </c>
      <c r="DH227" s="256">
        <f t="shared" si="82"/>
        <v>0</v>
      </c>
      <c r="DI227" s="280">
        <f t="shared" si="83"/>
        <v>0</v>
      </c>
      <c r="DJ227" s="295" t="str">
        <f t="shared" si="84"/>
        <v>-</v>
      </c>
      <c r="DK227" s="266" t="str">
        <f t="shared" si="85"/>
        <v>valid</v>
      </c>
      <c r="DL227" s="267" t="str">
        <f t="shared" si="86"/>
        <v>MGSP</v>
      </c>
      <c r="DM227" s="294">
        <f t="shared" si="87"/>
        <v>51.539556000000005</v>
      </c>
      <c r="DN227" s="256">
        <f>IF(MSASP&gt;0,'Look Ups'!$AI$4*(ZVAL*MSASP-RSAG),0)</f>
        <v>14.757799000000002</v>
      </c>
      <c r="DO227" s="256">
        <f>IF(AND(MSASC&gt;0,(MSASC&gt;=0.36*RSAM)),('Look Ups'!$AI$3*(ZVAL*MSASC-RSAG)),(0))</f>
        <v>0</v>
      </c>
      <c r="DP227" s="256">
        <f>IF(MSASP&gt;0,'Look Ups'!$AI$5*(ZVAL*MSASP-RSAG),0)</f>
        <v>13.773945733333337</v>
      </c>
      <c r="DQ227" s="256">
        <f>IF(MSASC&gt;0,'Look Ups'!$AI$6*(MSASC-RSAG),0)</f>
        <v>0</v>
      </c>
      <c r="DR227" s="280">
        <f>'Look Ups'!$AI$7*MAX(IF(MSAUSC&gt;0,EUSC/100*(MSAUSC-RSAG),0),IF(CR227="Yes",ELSC/100*(MSASC-RSAG),0))</f>
        <v>0</v>
      </c>
      <c r="DS227" s="280">
        <f t="shared" si="88"/>
        <v>12.294408960000002</v>
      </c>
      <c r="DT227" s="296">
        <f t="shared" si="89"/>
        <v>66.29735500000001</v>
      </c>
      <c r="DU227" s="14"/>
    </row>
    <row r="228" spans="1:125" ht="15.6" customHeight="1" x14ac:dyDescent="0.3">
      <c r="A228" s="4"/>
      <c r="B228" s="365"/>
      <c r="C228" s="369" t="s">
        <v>796</v>
      </c>
      <c r="D228" s="370" t="s">
        <v>797</v>
      </c>
      <c r="E228" s="371" t="s">
        <v>798</v>
      </c>
      <c r="F228" s="252">
        <f t="shared" ca="1" si="60"/>
        <v>0.92400000000000004</v>
      </c>
      <c r="G228" s="252" t="str">
        <f ca="1">IF(OR(FLSCR="ERROR",FLSPI="ERROR"),"No",IF(TODAY()-'Look Ups'!$D$4*365&gt;I228,"WP Applied","Yes"))</f>
        <v>WP Applied</v>
      </c>
      <c r="H228" s="253" t="str">
        <f t="shared" si="61"/>
        <v>Main-Genoa-Spinnaker</v>
      </c>
      <c r="I228" s="1">
        <v>38044</v>
      </c>
      <c r="J228" s="1"/>
      <c r="K228" s="87" t="s">
        <v>640</v>
      </c>
      <c r="L228" s="87" t="s">
        <v>641</v>
      </c>
      <c r="M228" s="207"/>
      <c r="N228" s="88" t="s">
        <v>774</v>
      </c>
      <c r="O228" s="88"/>
      <c r="P228" s="89"/>
      <c r="Q228" s="90">
        <v>8.26</v>
      </c>
      <c r="R228" s="87"/>
      <c r="S228" s="256">
        <f t="shared" si="62"/>
        <v>0.20650000000000002</v>
      </c>
      <c r="T228" s="117">
        <v>0</v>
      </c>
      <c r="U228" s="117">
        <v>0</v>
      </c>
      <c r="V228" s="258">
        <f t="shared" si="63"/>
        <v>8.26</v>
      </c>
      <c r="W228" s="259">
        <f>IF(RL&gt;0,IF(RL&gt;'Look Ups'!Y$7,'Look Ups'!Y$8,('Look Ups'!Y$3*RL^3+'Look Ups'!Y$4*RL^2+'Look Ups'!Y$5*RL+'Look Ups'!Y$6)),0)</f>
        <v>0.294648839208</v>
      </c>
      <c r="X228" s="92">
        <v>1629</v>
      </c>
      <c r="Y228" s="263">
        <f ca="1">IF(WDATE&lt;(TODAY()-'Look Ups'!$D$4*365),-WM*'Look Ups'!$D$5/100,0)</f>
        <v>-244.35</v>
      </c>
      <c r="Z228" s="103"/>
      <c r="AA228" s="109"/>
      <c r="AB228" s="109"/>
      <c r="AC228" s="265">
        <f>WCD+NC*'Look Ups'!$AF$3</f>
        <v>0</v>
      </c>
      <c r="AD228" s="265">
        <f ca="1">IF(RL&lt;'Look Ups'!AM$3,'Look Ups'!AM$4,IF(RL&gt;'Look Ups'!AM$5,'Look Ups'!AM$6,(RL-'Look Ups'!AM$3)/('Look Ups'!AM$5-'Look Ups'!AM$3)*('Look Ups'!AM$6-'Look Ups'!AM$4)+'Look Ups'!AM$4))/100*WS</f>
        <v>336.84758181818182</v>
      </c>
      <c r="AE228" s="269">
        <f t="shared" ca="1" si="64"/>
        <v>1384.65</v>
      </c>
      <c r="AF228" s="267">
        <f t="shared" ca="1" si="65"/>
        <v>1384.65</v>
      </c>
      <c r="AG228" s="94" t="s">
        <v>145</v>
      </c>
      <c r="AH228" s="95" t="s">
        <v>146</v>
      </c>
      <c r="AI228" s="96" t="s">
        <v>147</v>
      </c>
      <c r="AJ228" s="218"/>
      <c r="AK228" s="273">
        <f>IF(C228="",0,VLOOKUP(AG228,'Look Ups'!$F$3:$G$6,2,0)*VLOOKUP(AH228,'Look Ups'!$I$3:$J$5,2,0)*VLOOKUP(AI228,'Look Ups'!$L$3:$M$7,2,0)*IF(AJ228="",1,VLOOKUP(AJ228,'Look Ups'!$O$3:$P$4,2,0)))</f>
        <v>1</v>
      </c>
      <c r="AL228" s="83">
        <v>11.87</v>
      </c>
      <c r="AM228" s="91">
        <v>11.65</v>
      </c>
      <c r="AN228" s="91">
        <v>3.69</v>
      </c>
      <c r="AO228" s="91">
        <v>0.69</v>
      </c>
      <c r="AP228" s="91">
        <v>0.61</v>
      </c>
      <c r="AQ228" s="91">
        <v>11.9</v>
      </c>
      <c r="AR228" s="91">
        <v>0.16</v>
      </c>
      <c r="AS228" s="91">
        <v>3.75</v>
      </c>
      <c r="AT228" s="91">
        <v>0.08</v>
      </c>
      <c r="AU228" s="91">
        <v>0.45</v>
      </c>
      <c r="AV228" s="91" t="s">
        <v>148</v>
      </c>
      <c r="AW228" s="97">
        <v>0</v>
      </c>
      <c r="AX228" s="256">
        <f t="shared" si="66"/>
        <v>11.98</v>
      </c>
      <c r="AY228" s="256">
        <f t="shared" si="67"/>
        <v>2.0081250000000002</v>
      </c>
      <c r="AZ228" s="275">
        <f>IF(C228="",0,(0.5*(_ML1*LPM)+0.5*(_ML1*HB)+0.66*(P*PR)+0.66*(_ML2*RDM)+0.66*(E*ER))*VLOOKUP(BATT,'Look Ups'!$U$3:$V$4,2,0))</f>
        <v>32.140230000000003</v>
      </c>
      <c r="BA228" s="98"/>
      <c r="BB228" s="99"/>
      <c r="BC228" s="83">
        <v>10.17</v>
      </c>
      <c r="BD228" s="91">
        <v>5.4969999999999999</v>
      </c>
      <c r="BE228" s="91">
        <v>5.95</v>
      </c>
      <c r="BF228" s="91">
        <v>0.13</v>
      </c>
      <c r="BG228" s="91">
        <v>9.59</v>
      </c>
      <c r="BH228" s="91"/>
      <c r="BI228" s="91"/>
      <c r="BJ228" s="91">
        <v>-0.22</v>
      </c>
      <c r="BK228" s="91">
        <v>0.05</v>
      </c>
      <c r="BL228" s="97"/>
      <c r="BM228" s="275">
        <f t="shared" si="68"/>
        <v>27.405896999999996</v>
      </c>
      <c r="BN228" s="319"/>
      <c r="BO228" s="320"/>
      <c r="BP228" s="321"/>
      <c r="BQ228" s="321"/>
      <c r="BR228" s="320"/>
      <c r="BS228" s="321"/>
      <c r="BT228" s="321"/>
      <c r="BU228" s="280">
        <f t="shared" si="69"/>
        <v>0</v>
      </c>
      <c r="BV228" s="322"/>
      <c r="BW228" s="320"/>
      <c r="BX228" s="320"/>
      <c r="BY228" s="320"/>
      <c r="BZ228" s="320"/>
      <c r="CA228" s="320"/>
      <c r="CB228" s="320"/>
      <c r="CC228" s="275">
        <f t="shared" si="70"/>
        <v>0</v>
      </c>
      <c r="CD228" s="98">
        <v>6.7</v>
      </c>
      <c r="CE228" s="91">
        <v>13.04</v>
      </c>
      <c r="CF228" s="91">
        <v>11.43</v>
      </c>
      <c r="CG228" s="91">
        <v>6.82</v>
      </c>
      <c r="CH228" s="266">
        <f t="shared" si="71"/>
        <v>101.79104477611941</v>
      </c>
      <c r="CI228" s="320"/>
      <c r="CJ228" s="280">
        <f t="shared" si="72"/>
        <v>69.290883333333326</v>
      </c>
      <c r="CK228" s="83"/>
      <c r="CL228" s="91"/>
      <c r="CM228" s="91"/>
      <c r="CN228" s="91"/>
      <c r="CO228" s="256" t="str">
        <f t="shared" si="73"/>
        <v/>
      </c>
      <c r="CP228" s="320"/>
      <c r="CQ228" s="256">
        <f t="shared" si="74"/>
        <v>0</v>
      </c>
      <c r="CR228" s="256" t="str">
        <f>IF(CO228&lt;'Look Ups'!$AC$4,"Yes","No")</f>
        <v>No</v>
      </c>
      <c r="CS228" s="293">
        <f>IF(CR228="Yes",MIN(150,('Look Ups'!$AC$4-PSCR)/('Look Ups'!$AC$4-'Look Ups'!$AC$3)*100),0)</f>
        <v>0</v>
      </c>
      <c r="CT228" s="83"/>
      <c r="CU228" s="91"/>
      <c r="CV228" s="91"/>
      <c r="CW228" s="91"/>
      <c r="CX228" s="256" t="str">
        <f t="shared" si="75"/>
        <v/>
      </c>
      <c r="CY228" s="293">
        <f>IF(PUSCR&lt;'Look Ups'!$AC$4,MIN(150,('Look Ups'!$AC$4-PUSCR)/('Look Ups'!$AC$4-'Look Ups'!$AC$3)*100),0)</f>
        <v>0</v>
      </c>
      <c r="CZ228" s="275">
        <f>IF(PUSCR&lt;'Look Ups'!$AC$4,USCRF*(USCRL1+USCRL2)/4+(USCRMG-USCRF/2)*(USCRL1+USCRL2)/3,0)</f>
        <v>0</v>
      </c>
      <c r="DA228" s="294">
        <f t="shared" si="76"/>
        <v>1</v>
      </c>
      <c r="DB228" s="256">
        <f t="shared" si="77"/>
        <v>34.148355000000002</v>
      </c>
      <c r="DC228" s="256">
        <f t="shared" si="78"/>
        <v>1</v>
      </c>
      <c r="DD228" s="256">
        <f t="shared" si="79"/>
        <v>27.405896999999996</v>
      </c>
      <c r="DE228" s="256">
        <f>IF(AZ228&gt;0,'Look Ups'!$S$3,0)</f>
        <v>1</v>
      </c>
      <c r="DF228" s="256">
        <f t="shared" si="80"/>
        <v>0</v>
      </c>
      <c r="DG228" s="256">
        <f t="shared" si="81"/>
        <v>0</v>
      </c>
      <c r="DH228" s="256">
        <f t="shared" si="82"/>
        <v>0</v>
      </c>
      <c r="DI228" s="280">
        <f t="shared" si="83"/>
        <v>0</v>
      </c>
      <c r="DJ228" s="295" t="str">
        <f t="shared" si="84"/>
        <v>-</v>
      </c>
      <c r="DK228" s="266" t="str">
        <f t="shared" si="85"/>
        <v>valid</v>
      </c>
      <c r="DL228" s="267" t="str">
        <f t="shared" si="86"/>
        <v>MGSP</v>
      </c>
      <c r="DM228" s="294">
        <f t="shared" si="87"/>
        <v>61.554251999999998</v>
      </c>
      <c r="DN228" s="256">
        <f>IF(MSASP&gt;0,'Look Ups'!$AI$4*(ZVAL*MSASP-RSAG),0)</f>
        <v>12.565495899999998</v>
      </c>
      <c r="DO228" s="256">
        <f>IF(AND(MSASC&gt;0,(MSASC&gt;=0.36*RSAM)),('Look Ups'!$AI$3*(ZVAL*MSASC-RSAG)),(0))</f>
        <v>0</v>
      </c>
      <c r="DP228" s="256">
        <f>IF(MSASP&gt;0,'Look Ups'!$AI$5*(ZVAL*MSASP-RSAG),0)</f>
        <v>11.727796173333333</v>
      </c>
      <c r="DQ228" s="256">
        <f>IF(MSASC&gt;0,'Look Ups'!$AI$6*(MSASC-RSAG),0)</f>
        <v>0</v>
      </c>
      <c r="DR228" s="280">
        <f>'Look Ups'!$AI$7*MAX(IF(MSAUSC&gt;0,EUSC/100*(MSAUSC-RSAG),0),IF(CR228="Yes",ELSC/100*(MSASC-RSAG),0))</f>
        <v>0</v>
      </c>
      <c r="DS228" s="280">
        <f t="shared" si="88"/>
        <v>12.293407800000001</v>
      </c>
      <c r="DT228" s="296">
        <f t="shared" si="89"/>
        <v>74.119747899999993</v>
      </c>
      <c r="DU228" s="14"/>
    </row>
    <row r="229" spans="1:125" ht="15.6" customHeight="1" x14ac:dyDescent="0.3">
      <c r="A229" s="4"/>
      <c r="B229" s="365"/>
      <c r="C229" s="369" t="s">
        <v>799</v>
      </c>
      <c r="D229" s="370" t="s">
        <v>800</v>
      </c>
      <c r="E229" s="371" t="s">
        <v>801</v>
      </c>
      <c r="F229" s="252">
        <f t="shared" ca="1" si="60"/>
        <v>0.77</v>
      </c>
      <c r="G229" s="252" t="str">
        <f ca="1">IF(OR(FLSCR="ERROR",FLSPI="ERROR"),"No",IF(TODAY()-'Look Ups'!$D$4*365&gt;I229,"WP Applied","Yes"))</f>
        <v>WP Applied</v>
      </c>
      <c r="H229" s="253" t="str">
        <f t="shared" si="61"/>
        <v>Main-Genoa-Screacher (Upwind)-Spinnaker</v>
      </c>
      <c r="I229" s="1">
        <v>41480</v>
      </c>
      <c r="J229" s="1">
        <v>41652</v>
      </c>
      <c r="K229" s="87" t="s">
        <v>444</v>
      </c>
      <c r="L229" s="87" t="s">
        <v>159</v>
      </c>
      <c r="M229" s="207"/>
      <c r="N229" s="88" t="s">
        <v>165</v>
      </c>
      <c r="O229" s="88"/>
      <c r="P229" s="89"/>
      <c r="Q229" s="90">
        <v>15.75</v>
      </c>
      <c r="R229" s="87"/>
      <c r="S229" s="256">
        <f t="shared" si="62"/>
        <v>0.39375000000000004</v>
      </c>
      <c r="T229" s="117"/>
      <c r="U229" s="117">
        <v>0</v>
      </c>
      <c r="V229" s="258">
        <f t="shared" si="63"/>
        <v>15.75</v>
      </c>
      <c r="W229" s="259">
        <f>IF(RL&gt;0,IF(RL&gt;'Look Ups'!Y$7,'Look Ups'!Y$8,('Look Ups'!Y$3*RL^3+'Look Ups'!Y$4*RL^2+'Look Ups'!Y$5*RL+'Look Ups'!Y$6)),0)</f>
        <v>0.3</v>
      </c>
      <c r="X229" s="92">
        <v>15317</v>
      </c>
      <c r="Y229" s="263">
        <f ca="1">IF(WDATE&lt;(TODAY()-'Look Ups'!$D$4*365),-WM*'Look Ups'!$D$5/100,0)</f>
        <v>-2297.5500000000002</v>
      </c>
      <c r="Z229" s="103"/>
      <c r="AA229" s="109"/>
      <c r="AB229" s="109"/>
      <c r="AC229" s="265">
        <f>WCD+NC*'Look Ups'!$AF$3</f>
        <v>0</v>
      </c>
      <c r="AD229" s="265">
        <f ca="1">IF(RL&lt;'Look Ups'!AM$3,'Look Ups'!AM$4,IF(RL&gt;'Look Ups'!AM$5,'Look Ups'!AM$6,(RL-'Look Ups'!AM$3)/('Look Ups'!AM$5-'Look Ups'!AM$3)*('Look Ups'!AM$6-'Look Ups'!AM$4)+'Look Ups'!AM$4))/100*WS</f>
        <v>1301.9450000000002</v>
      </c>
      <c r="AE229" s="269">
        <f t="shared" ca="1" si="64"/>
        <v>13019.45</v>
      </c>
      <c r="AF229" s="267">
        <f t="shared" ca="1" si="65"/>
        <v>13019.45</v>
      </c>
      <c r="AG229" s="94" t="s">
        <v>145</v>
      </c>
      <c r="AH229" s="95" t="s">
        <v>146</v>
      </c>
      <c r="AI229" s="96" t="s">
        <v>177</v>
      </c>
      <c r="AJ229" s="218"/>
      <c r="AK229" s="273">
        <f>IF(C229="",0,VLOOKUP(AG229,'Look Ups'!$F$3:$G$6,2,0)*VLOOKUP(AH229,'Look Ups'!$I$3:$J$5,2,0)*VLOOKUP(AI229,'Look Ups'!$L$3:$M$7,2,0)*IF(AJ229="",1,VLOOKUP(AJ229,'Look Ups'!$O$3:$P$4,2,0)))</f>
        <v>0.99</v>
      </c>
      <c r="AL229" s="83">
        <v>19.45</v>
      </c>
      <c r="AM229" s="91">
        <v>17.97</v>
      </c>
      <c r="AN229" s="91">
        <v>6.77</v>
      </c>
      <c r="AO229" s="91">
        <v>2.11</v>
      </c>
      <c r="AP229" s="91">
        <v>0.37</v>
      </c>
      <c r="AQ229" s="91">
        <v>18.66</v>
      </c>
      <c r="AR229" s="91">
        <v>0.2</v>
      </c>
      <c r="AS229" s="91">
        <v>7.06</v>
      </c>
      <c r="AT229" s="91">
        <v>0</v>
      </c>
      <c r="AU229" s="91">
        <v>0</v>
      </c>
      <c r="AV229" s="91" t="s">
        <v>148</v>
      </c>
      <c r="AW229" s="97">
        <v>0</v>
      </c>
      <c r="AX229" s="256">
        <f t="shared" si="66"/>
        <v>18.66</v>
      </c>
      <c r="AY229" s="256">
        <f t="shared" si="67"/>
        <v>0</v>
      </c>
      <c r="AZ229" s="275">
        <f>IF(C229="",0,(0.5*(_ML1*LPM)+0.5*(_ML1*HB)+0.66*(P*PR)+0.66*(_ML2*RDM)+0.66*(E*ER))*VLOOKUP(BATT,'Look Ups'!$U$3:$V$4,2,0))</f>
        <v>93.209393999999989</v>
      </c>
      <c r="BA229" s="98"/>
      <c r="BB229" s="99"/>
      <c r="BC229" s="83">
        <v>17.420000000000002</v>
      </c>
      <c r="BD229" s="91">
        <v>4.3600000000000003</v>
      </c>
      <c r="BE229" s="91">
        <v>4.6500000000000004</v>
      </c>
      <c r="BF229" s="91">
        <v>0.17</v>
      </c>
      <c r="BG229" s="91">
        <v>16.5</v>
      </c>
      <c r="BH229" s="91"/>
      <c r="BI229" s="91"/>
      <c r="BJ229" s="91">
        <v>-0.17</v>
      </c>
      <c r="BK229" s="91">
        <v>0.03</v>
      </c>
      <c r="BL229" s="97">
        <v>0</v>
      </c>
      <c r="BM229" s="275">
        <f t="shared" si="68"/>
        <v>36.990946000000001</v>
      </c>
      <c r="BN229" s="319"/>
      <c r="BO229" s="320"/>
      <c r="BP229" s="321"/>
      <c r="BQ229" s="321"/>
      <c r="BR229" s="320"/>
      <c r="BS229" s="321"/>
      <c r="BT229" s="321"/>
      <c r="BU229" s="280">
        <f t="shared" si="69"/>
        <v>0</v>
      </c>
      <c r="BV229" s="322"/>
      <c r="BW229" s="320"/>
      <c r="BX229" s="320"/>
      <c r="BY229" s="320"/>
      <c r="BZ229" s="320"/>
      <c r="CA229" s="320"/>
      <c r="CB229" s="320"/>
      <c r="CC229" s="275">
        <f t="shared" si="70"/>
        <v>0</v>
      </c>
      <c r="CD229" s="98">
        <v>12.29</v>
      </c>
      <c r="CE229" s="91">
        <v>20.81</v>
      </c>
      <c r="CF229" s="91">
        <v>18.32</v>
      </c>
      <c r="CG229" s="91">
        <v>11.2</v>
      </c>
      <c r="CH229" s="266">
        <f t="shared" si="71"/>
        <v>91.131000813669644</v>
      </c>
      <c r="CI229" s="320"/>
      <c r="CJ229" s="280">
        <f t="shared" si="72"/>
        <v>186.16097499999995</v>
      </c>
      <c r="CK229" s="83">
        <v>9.27</v>
      </c>
      <c r="CL229" s="91">
        <v>18.309999999999999</v>
      </c>
      <c r="CM229" s="91">
        <v>14.9</v>
      </c>
      <c r="CN229" s="91">
        <v>4.6500000000000004</v>
      </c>
      <c r="CO229" s="256">
        <f t="shared" si="73"/>
        <v>50.161812297734635</v>
      </c>
      <c r="CP229" s="320"/>
      <c r="CQ229" s="256">
        <f t="shared" si="74"/>
        <v>77.13022500000001</v>
      </c>
      <c r="CR229" s="256" t="str">
        <f>IF(CO229&lt;'Look Ups'!$AC$4,"Yes","No")</f>
        <v>Yes</v>
      </c>
      <c r="CS229" s="293">
        <f>IF(CR229="Yes",MIN(150,('Look Ups'!$AC$4-PSCR)/('Look Ups'!$AC$4-'Look Ups'!$AC$3)*100),0)</f>
        <v>36.763754045307309</v>
      </c>
      <c r="CT229" s="83"/>
      <c r="CU229" s="91"/>
      <c r="CV229" s="91"/>
      <c r="CW229" s="91"/>
      <c r="CX229" s="256" t="str">
        <f t="shared" si="75"/>
        <v/>
      </c>
      <c r="CY229" s="293">
        <f>IF(PUSCR&lt;'Look Ups'!$AC$4,MIN(150,('Look Ups'!$AC$4-PUSCR)/('Look Ups'!$AC$4-'Look Ups'!$AC$3)*100),0)</f>
        <v>0</v>
      </c>
      <c r="CZ229" s="275">
        <f>IF(PUSCR&lt;'Look Ups'!$AC$4,USCRF*(USCRL1+USCRL2)/4+(USCRMG-USCRF/2)*(USCRL1+USCRL2)/3,0)</f>
        <v>0</v>
      </c>
      <c r="DA229" s="294">
        <f t="shared" si="76"/>
        <v>1</v>
      </c>
      <c r="DB229" s="256">
        <f t="shared" si="77"/>
        <v>93.209393999999989</v>
      </c>
      <c r="DC229" s="256">
        <f t="shared" si="78"/>
        <v>1</v>
      </c>
      <c r="DD229" s="256">
        <f t="shared" si="79"/>
        <v>36.990946000000001</v>
      </c>
      <c r="DE229" s="256">
        <f>IF(AZ229&gt;0,'Look Ups'!$S$3,0)</f>
        <v>1</v>
      </c>
      <c r="DF229" s="256">
        <f t="shared" si="80"/>
        <v>0</v>
      </c>
      <c r="DG229" s="256">
        <f t="shared" si="81"/>
        <v>0</v>
      </c>
      <c r="DH229" s="256">
        <f t="shared" si="82"/>
        <v>0</v>
      </c>
      <c r="DI229" s="280">
        <f t="shared" si="83"/>
        <v>0</v>
      </c>
      <c r="DJ229" s="295" t="str">
        <f t="shared" si="84"/>
        <v>valid</v>
      </c>
      <c r="DK229" s="266" t="str">
        <f t="shared" si="85"/>
        <v>valid</v>
      </c>
      <c r="DL229" s="267" t="str">
        <f t="shared" si="86"/>
        <v>MGScrSP</v>
      </c>
      <c r="DM229" s="294">
        <f t="shared" si="87"/>
        <v>130.20033999999998</v>
      </c>
      <c r="DN229" s="256">
        <f>IF(MSASP&gt;0,'Look Ups'!$AI$4*(ZVAL*MSASP-RSAG),0)</f>
        <v>44.751008699999979</v>
      </c>
      <c r="DO229" s="256">
        <f>IF(AND(MSASC&gt;0,(MSASC&gt;=0.36*RSAM)),('Look Ups'!$AI$3*(ZVAL*MSASC-RSAG)),(0))</f>
        <v>14.048747650000003</v>
      </c>
      <c r="DP229" s="256">
        <f>IF(MSASP&gt;0,'Look Ups'!$AI$5*(ZVAL*MSASP-RSAG),0)</f>
        <v>41.767608119999991</v>
      </c>
      <c r="DQ229" s="256">
        <f>IF(MSASC&gt;0,'Look Ups'!$AI$6*(MSASC-RSAG),0)</f>
        <v>2.8097495300000008</v>
      </c>
      <c r="DR229" s="280">
        <f>'Look Ups'!$AI$7*MAX(IF(MSAUSC&gt;0,EUSC/100*(MSAUSC-RSAG),0),IF(CR229="Yes",ELSC/100*(MSASC-RSAG),0))</f>
        <v>3.6891764517799222</v>
      </c>
      <c r="DS229" s="280">
        <f t="shared" si="88"/>
        <v>33.555381839999995</v>
      </c>
      <c r="DT229" s="296">
        <f t="shared" si="89"/>
        <v>178.46687410177989</v>
      </c>
      <c r="DU229" s="14"/>
    </row>
    <row r="230" spans="1:125" ht="15.6" customHeight="1" x14ac:dyDescent="0.3">
      <c r="A230" s="4"/>
      <c r="B230" s="365"/>
      <c r="C230" s="369" t="s">
        <v>802</v>
      </c>
      <c r="D230" s="370" t="s">
        <v>803</v>
      </c>
      <c r="E230" s="371" t="s">
        <v>804</v>
      </c>
      <c r="F230" s="252">
        <f t="shared" ca="1" si="60"/>
        <v>0.63900000000000001</v>
      </c>
      <c r="G230" s="252" t="str">
        <f ca="1">IF(OR(FLSCR="ERROR",FLSPI="ERROR"),"No",IF(TODAY()-'Look Ups'!$D$4*365&gt;I230,"WP Applied","Yes"))</f>
        <v>WP Applied</v>
      </c>
      <c r="H230" s="253" t="str">
        <f t="shared" si="61"/>
        <v>Main-Genoa-Spinnaker</v>
      </c>
      <c r="I230" s="1">
        <v>36586</v>
      </c>
      <c r="J230" s="1"/>
      <c r="K230" s="87" t="s">
        <v>805</v>
      </c>
      <c r="L230" s="87" t="s">
        <v>270</v>
      </c>
      <c r="M230" s="207"/>
      <c r="N230" s="88" t="s">
        <v>165</v>
      </c>
      <c r="O230" s="88"/>
      <c r="P230" s="89"/>
      <c r="Q230" s="90">
        <v>11.1</v>
      </c>
      <c r="R230" s="87"/>
      <c r="S230" s="256">
        <f t="shared" si="62"/>
        <v>0.27750000000000002</v>
      </c>
      <c r="T230" s="117">
        <v>0.2</v>
      </c>
      <c r="U230" s="117">
        <v>0</v>
      </c>
      <c r="V230" s="258">
        <f t="shared" si="63"/>
        <v>10.9</v>
      </c>
      <c r="W230" s="259">
        <f>IF(RL&gt;0,IF(RL&gt;'Look Ups'!Y$7,'Look Ups'!Y$8,('Look Ups'!Y$3*RL^3+'Look Ups'!Y$4*RL^2+'Look Ups'!Y$5*RL+'Look Ups'!Y$6)),0)</f>
        <v>0.29945195700000005</v>
      </c>
      <c r="X230" s="92">
        <v>5207</v>
      </c>
      <c r="Y230" s="263">
        <f ca="1">IF(WDATE&lt;(TODAY()-'Look Ups'!$D$4*365),-WM*'Look Ups'!$D$5/100,0)</f>
        <v>-781.05</v>
      </c>
      <c r="Z230" s="103"/>
      <c r="AA230" s="109"/>
      <c r="AB230" s="109"/>
      <c r="AC230" s="265">
        <f>WCD+NC*'Look Ups'!$AF$3</f>
        <v>0</v>
      </c>
      <c r="AD230" s="265">
        <f ca="1">IF(RL&lt;'Look Ups'!AM$3,'Look Ups'!AM$4,IF(RL&gt;'Look Ups'!AM$5,'Look Ups'!AM$6,(RL-'Look Ups'!AM$3)/('Look Ups'!AM$5-'Look Ups'!AM$3)*('Look Ups'!AM$6-'Look Ups'!AM$4)+'Look Ups'!AM$4))/100*WS</f>
        <v>651.82172727272712</v>
      </c>
      <c r="AE230" s="269">
        <f t="shared" ca="1" si="64"/>
        <v>4425.95</v>
      </c>
      <c r="AF230" s="267">
        <f t="shared" ca="1" si="65"/>
        <v>4425.95</v>
      </c>
      <c r="AG230" s="94" t="s">
        <v>603</v>
      </c>
      <c r="AH230" s="95" t="s">
        <v>146</v>
      </c>
      <c r="AI230" s="96" t="s">
        <v>177</v>
      </c>
      <c r="AJ230" s="218"/>
      <c r="AK230" s="273">
        <f>IF(C230="",0,VLOOKUP(AG230,'Look Ups'!$F$3:$G$6,2,0)*VLOOKUP(AH230,'Look Ups'!$I$3:$J$5,2,0)*VLOOKUP(AI230,'Look Ups'!$L$3:$M$7,2,0)*IF(AJ230="",1,VLOOKUP(AJ230,'Look Ups'!$O$3:$P$4,2,0)))</f>
        <v>0.97019999999999995</v>
      </c>
      <c r="AL230" s="83">
        <v>11.67</v>
      </c>
      <c r="AM230" s="91">
        <v>11.65</v>
      </c>
      <c r="AN230" s="91">
        <v>2.72</v>
      </c>
      <c r="AO230" s="91">
        <v>0.15</v>
      </c>
      <c r="AP230" s="91">
        <v>0.31</v>
      </c>
      <c r="AQ230" s="91">
        <v>11.5</v>
      </c>
      <c r="AR230" s="91">
        <v>0</v>
      </c>
      <c r="AS230" s="91">
        <v>2.9</v>
      </c>
      <c r="AT230" s="91">
        <v>0</v>
      </c>
      <c r="AU230" s="91">
        <v>0</v>
      </c>
      <c r="AV230" s="91" t="s">
        <v>590</v>
      </c>
      <c r="AW230" s="97">
        <v>0</v>
      </c>
      <c r="AX230" s="256">
        <f t="shared" si="66"/>
        <v>11.5</v>
      </c>
      <c r="AY230" s="256">
        <f t="shared" si="67"/>
        <v>0</v>
      </c>
      <c r="AZ230" s="275">
        <f>IF(C230="",0,(0.5*(_ML1*LPM)+0.5*(_ML1*HB)+0.66*(P*PR)+0.66*(_ML2*RDM)+0.66*(E*ER))*VLOOKUP(BATT,'Look Ups'!$U$3:$V$4,2,0))</f>
        <v>17.982237600000001</v>
      </c>
      <c r="BA230" s="98"/>
      <c r="BB230" s="99"/>
      <c r="BC230" s="83">
        <v>12.75</v>
      </c>
      <c r="BD230" s="91">
        <v>5.54</v>
      </c>
      <c r="BE230" s="91">
        <v>6.8</v>
      </c>
      <c r="BF230" s="91">
        <v>0.25</v>
      </c>
      <c r="BG230" s="91">
        <v>10.73</v>
      </c>
      <c r="BH230" s="91"/>
      <c r="BI230" s="91"/>
      <c r="BJ230" s="91">
        <v>-0.17</v>
      </c>
      <c r="BK230" s="91">
        <v>-0.2</v>
      </c>
      <c r="BL230" s="97"/>
      <c r="BM230" s="275">
        <f t="shared" si="68"/>
        <v>33.552593999999999</v>
      </c>
      <c r="BN230" s="319"/>
      <c r="BO230" s="320"/>
      <c r="BP230" s="321"/>
      <c r="BQ230" s="321"/>
      <c r="BR230" s="320"/>
      <c r="BS230" s="321"/>
      <c r="BT230" s="321"/>
      <c r="BU230" s="280">
        <f t="shared" si="69"/>
        <v>0</v>
      </c>
      <c r="BV230" s="322"/>
      <c r="BW230" s="320"/>
      <c r="BX230" s="320"/>
      <c r="BY230" s="320"/>
      <c r="BZ230" s="320"/>
      <c r="CA230" s="320"/>
      <c r="CB230" s="320"/>
      <c r="CC230" s="275">
        <f t="shared" si="70"/>
        <v>0</v>
      </c>
      <c r="CD230" s="98">
        <v>7.92</v>
      </c>
      <c r="CE230" s="91">
        <v>11.93</v>
      </c>
      <c r="CF230" s="91">
        <v>11.93</v>
      </c>
      <c r="CG230" s="91">
        <v>7.75</v>
      </c>
      <c r="CH230" s="266">
        <f t="shared" si="71"/>
        <v>97.853535353535364</v>
      </c>
      <c r="CI230" s="320"/>
      <c r="CJ230" s="280">
        <f t="shared" si="72"/>
        <v>77.385933333333327</v>
      </c>
      <c r="CK230" s="83"/>
      <c r="CL230" s="91"/>
      <c r="CM230" s="91"/>
      <c r="CN230" s="91"/>
      <c r="CO230" s="256" t="str">
        <f t="shared" si="73"/>
        <v/>
      </c>
      <c r="CP230" s="320"/>
      <c r="CQ230" s="256">
        <f t="shared" si="74"/>
        <v>0</v>
      </c>
      <c r="CR230" s="256" t="str">
        <f>IF(CO230&lt;'Look Ups'!$AC$4,"Yes","No")</f>
        <v>No</v>
      </c>
      <c r="CS230" s="293">
        <f>IF(CR230="Yes",MIN(150,('Look Ups'!$AC$4-PSCR)/('Look Ups'!$AC$4-'Look Ups'!$AC$3)*100),0)</f>
        <v>0</v>
      </c>
      <c r="CT230" s="83"/>
      <c r="CU230" s="91"/>
      <c r="CV230" s="91"/>
      <c r="CW230" s="91"/>
      <c r="CX230" s="256" t="str">
        <f t="shared" si="75"/>
        <v/>
      </c>
      <c r="CY230" s="293">
        <f>IF(PUSCR&lt;'Look Ups'!$AC$4,MIN(150,('Look Ups'!$AC$4-PUSCR)/('Look Ups'!$AC$4-'Look Ups'!$AC$3)*100),0)</f>
        <v>0</v>
      </c>
      <c r="CZ230" s="275">
        <f>IF(PUSCR&lt;'Look Ups'!$AC$4,USCRF*(USCRL1+USCRL2)/4+(USCRMG-USCRF/2)*(USCRL1+USCRL2)/3,0)</f>
        <v>0</v>
      </c>
      <c r="DA230" s="294">
        <f t="shared" si="76"/>
        <v>1</v>
      </c>
      <c r="DB230" s="256">
        <f t="shared" si="77"/>
        <v>17.982237600000001</v>
      </c>
      <c r="DC230" s="256">
        <f t="shared" si="78"/>
        <v>1</v>
      </c>
      <c r="DD230" s="256">
        <f t="shared" si="79"/>
        <v>33.552593999999999</v>
      </c>
      <c r="DE230" s="256">
        <f>IF(AZ230&gt;0,'Look Ups'!$S$3,0)</f>
        <v>1</v>
      </c>
      <c r="DF230" s="256">
        <f t="shared" si="80"/>
        <v>0</v>
      </c>
      <c r="DG230" s="256">
        <f t="shared" si="81"/>
        <v>0</v>
      </c>
      <c r="DH230" s="256">
        <f t="shared" si="82"/>
        <v>0</v>
      </c>
      <c r="DI230" s="280">
        <f t="shared" si="83"/>
        <v>0</v>
      </c>
      <c r="DJ230" s="295" t="str">
        <f t="shared" si="84"/>
        <v>-</v>
      </c>
      <c r="DK230" s="266" t="str">
        <f t="shared" si="85"/>
        <v>valid</v>
      </c>
      <c r="DL230" s="267" t="str">
        <f t="shared" si="86"/>
        <v>MGSP</v>
      </c>
      <c r="DM230" s="294">
        <f t="shared" si="87"/>
        <v>51.534831600000004</v>
      </c>
      <c r="DN230" s="256">
        <f>IF(MSASP&gt;0,'Look Ups'!$AI$4*(ZVAL*MSASP-RSAG),0)</f>
        <v>13.150001799999998</v>
      </c>
      <c r="DO230" s="256">
        <f>IF(AND(MSASC&gt;0,(MSASC&gt;=0.36*RSAM)),('Look Ups'!$AI$3*(ZVAL*MSASC-RSAG)),(0))</f>
        <v>0</v>
      </c>
      <c r="DP230" s="256">
        <f>IF(MSASP&gt;0,'Look Ups'!$AI$5*(ZVAL*MSASP-RSAG),0)</f>
        <v>12.273335013333332</v>
      </c>
      <c r="DQ230" s="256">
        <f>IF(MSASC&gt;0,'Look Ups'!$AI$6*(MSASC-RSAG),0)</f>
        <v>0</v>
      </c>
      <c r="DR230" s="280">
        <f>'Look Ups'!$AI$7*MAX(IF(MSAUSC&gt;0,EUSC/100*(MSAUSC-RSAG),0),IF(CR230="Yes",ELSC/100*(MSASC-RSAG),0))</f>
        <v>0</v>
      </c>
      <c r="DS230" s="280">
        <f t="shared" si="88"/>
        <v>6.473605536</v>
      </c>
      <c r="DT230" s="296">
        <f t="shared" si="89"/>
        <v>64.684833400000002</v>
      </c>
      <c r="DU230" s="14"/>
    </row>
    <row r="231" spans="1:125" ht="15.6" customHeight="1" x14ac:dyDescent="0.3">
      <c r="A231" s="4"/>
      <c r="B231" s="365"/>
      <c r="C231" s="369" t="s">
        <v>806</v>
      </c>
      <c r="D231" s="370" t="s">
        <v>277</v>
      </c>
      <c r="E231" s="371" t="s">
        <v>807</v>
      </c>
      <c r="F231" s="252">
        <f t="shared" ca="1" si="60"/>
        <v>0.94299999999999995</v>
      </c>
      <c r="G231" s="252" t="str">
        <f ca="1">IF(OR(FLSCR="ERROR",FLSPI="ERROR"),"No",IF(TODAY()-'Look Ups'!$D$4*365&gt;I231,"WP Applied","Yes"))</f>
        <v>WP Applied</v>
      </c>
      <c r="H231" s="253" t="str">
        <f t="shared" si="61"/>
        <v>Main-Genoa-Spinnaker</v>
      </c>
      <c r="I231" s="1">
        <v>41207</v>
      </c>
      <c r="J231" s="1">
        <v>41495</v>
      </c>
      <c r="K231" s="87" t="s">
        <v>141</v>
      </c>
      <c r="L231" s="87" t="s">
        <v>159</v>
      </c>
      <c r="M231" s="207"/>
      <c r="N231" s="88" t="s">
        <v>143</v>
      </c>
      <c r="O231" s="88" t="s">
        <v>154</v>
      </c>
      <c r="P231" s="89"/>
      <c r="Q231" s="90">
        <v>7.02</v>
      </c>
      <c r="R231" s="87"/>
      <c r="S231" s="256">
        <f t="shared" si="62"/>
        <v>0.17549999999999999</v>
      </c>
      <c r="T231" s="117">
        <v>7.0000000000000007E-2</v>
      </c>
      <c r="U231" s="117">
        <v>0.14000000000000001</v>
      </c>
      <c r="V231" s="258">
        <f t="shared" si="63"/>
        <v>6.81</v>
      </c>
      <c r="W231" s="259">
        <f>IF(RL&gt;0,IF(RL&gt;'Look Ups'!Y$7,'Look Ups'!Y$8,('Look Ups'!Y$3*RL^3+'Look Ups'!Y$4*RL^2+'Look Ups'!Y$5*RL+'Look Ups'!Y$6)),0)</f>
        <v>0.28879056095300004</v>
      </c>
      <c r="X231" s="92">
        <v>820</v>
      </c>
      <c r="Y231" s="263">
        <f ca="1">IF(WDATE&lt;(TODAY()-'Look Ups'!$D$4*365),-WM*'Look Ups'!$D$5/100,0)</f>
        <v>-123</v>
      </c>
      <c r="Z231" s="103"/>
      <c r="AA231" s="109"/>
      <c r="AB231" s="109"/>
      <c r="AC231" s="265">
        <f>WCD+NC*'Look Ups'!$AF$3</f>
        <v>0</v>
      </c>
      <c r="AD231" s="265">
        <f ca="1">IF(RL&lt;'Look Ups'!AM$3,'Look Ups'!AM$4,IF(RL&gt;'Look Ups'!AM$5,'Look Ups'!AM$6,(RL-'Look Ups'!AM$3)/('Look Ups'!AM$5-'Look Ups'!AM$3)*('Look Ups'!AM$6-'Look Ups'!AM$4)+'Look Ups'!AM$4))/100*WS</f>
        <v>206.31200000000004</v>
      </c>
      <c r="AE231" s="269">
        <f t="shared" ca="1" si="64"/>
        <v>697</v>
      </c>
      <c r="AF231" s="267">
        <f t="shared" ca="1" si="65"/>
        <v>697</v>
      </c>
      <c r="AG231" s="94" t="s">
        <v>145</v>
      </c>
      <c r="AH231" s="95" t="s">
        <v>146</v>
      </c>
      <c r="AI231" s="96" t="s">
        <v>147</v>
      </c>
      <c r="AJ231" s="218"/>
      <c r="AK231" s="273">
        <f>IF(C231="",0,VLOOKUP(AG231,'Look Ups'!$F$3:$G$6,2,0)*VLOOKUP(AH231,'Look Ups'!$I$3:$J$5,2,0)*VLOOKUP(AI231,'Look Ups'!$L$3:$M$7,2,0)*IF(AJ231="",1,VLOOKUP(AJ231,'Look Ups'!$O$3:$P$4,2,0)))</f>
        <v>1</v>
      </c>
      <c r="AL231" s="83">
        <v>10.43</v>
      </c>
      <c r="AM231" s="91">
        <v>10.210000000000001</v>
      </c>
      <c r="AN231" s="91">
        <v>2.85</v>
      </c>
      <c r="AO231" s="91">
        <v>1.19</v>
      </c>
      <c r="AP231" s="91">
        <v>0.46</v>
      </c>
      <c r="AQ231" s="91">
        <v>10.1</v>
      </c>
      <c r="AR231" s="91">
        <v>0.16</v>
      </c>
      <c r="AS231" s="91">
        <v>2.91</v>
      </c>
      <c r="AT231" s="91">
        <v>0.04</v>
      </c>
      <c r="AU231" s="91">
        <v>0.41</v>
      </c>
      <c r="AV231" s="91" t="s">
        <v>148</v>
      </c>
      <c r="AW231" s="97"/>
      <c r="AX231" s="256">
        <f t="shared" si="66"/>
        <v>10.139999999999999</v>
      </c>
      <c r="AY231" s="256">
        <f t="shared" si="67"/>
        <v>1.5528749999999998</v>
      </c>
      <c r="AZ231" s="275">
        <f>IF(C231="",0,(0.5*(_ML1*LPM)+0.5*(_ML1*HB)+0.66*(P*PR)+0.66*(_ML2*RDM)+0.66*(E*ER))*VLOOKUP(BATT,'Look Ups'!$U$3:$V$4,2,0))</f>
        <v>25.311739999999997</v>
      </c>
      <c r="BA231" s="98"/>
      <c r="BB231" s="99"/>
      <c r="BC231" s="83">
        <v>9.1</v>
      </c>
      <c r="BD231" s="91">
        <v>2.56</v>
      </c>
      <c r="BE231" s="91">
        <v>2.95</v>
      </c>
      <c r="BF231" s="91">
        <v>0.18</v>
      </c>
      <c r="BG231" s="91">
        <v>8.08</v>
      </c>
      <c r="BH231" s="91"/>
      <c r="BI231" s="91"/>
      <c r="BJ231" s="91">
        <v>0.21</v>
      </c>
      <c r="BK231" s="91">
        <v>0</v>
      </c>
      <c r="BL231" s="97"/>
      <c r="BM231" s="275">
        <f t="shared" si="68"/>
        <v>13.118347999999999</v>
      </c>
      <c r="BN231" s="319"/>
      <c r="BO231" s="320"/>
      <c r="BP231" s="321"/>
      <c r="BQ231" s="321"/>
      <c r="BR231" s="320"/>
      <c r="BS231" s="321"/>
      <c r="BT231" s="321"/>
      <c r="BU231" s="280">
        <f t="shared" si="69"/>
        <v>0</v>
      </c>
      <c r="BV231" s="322"/>
      <c r="BW231" s="320"/>
      <c r="BX231" s="320"/>
      <c r="BY231" s="320"/>
      <c r="BZ231" s="320"/>
      <c r="CA231" s="320"/>
      <c r="CB231" s="320"/>
      <c r="CC231" s="275">
        <f t="shared" si="70"/>
        <v>0</v>
      </c>
      <c r="CD231" s="98">
        <v>6.46</v>
      </c>
      <c r="CE231" s="91">
        <v>12.25</v>
      </c>
      <c r="CF231" s="91">
        <v>10.58</v>
      </c>
      <c r="CG231" s="91">
        <v>5.8</v>
      </c>
      <c r="CH231" s="266">
        <f t="shared" si="71"/>
        <v>89.783281733746122</v>
      </c>
      <c r="CI231" s="320"/>
      <c r="CJ231" s="280">
        <f t="shared" si="72"/>
        <v>56.428149999999995</v>
      </c>
      <c r="CK231" s="83"/>
      <c r="CL231" s="91"/>
      <c r="CM231" s="91"/>
      <c r="CN231" s="91"/>
      <c r="CO231" s="256" t="str">
        <f t="shared" si="73"/>
        <v/>
      </c>
      <c r="CP231" s="320"/>
      <c r="CQ231" s="256">
        <f t="shared" si="74"/>
        <v>0</v>
      </c>
      <c r="CR231" s="256" t="str">
        <f>IF(CO231&lt;'Look Ups'!$AC$4,"Yes","No")</f>
        <v>No</v>
      </c>
      <c r="CS231" s="293">
        <f>IF(CR231="Yes",MIN(150,('Look Ups'!$AC$4-PSCR)/('Look Ups'!$AC$4-'Look Ups'!$AC$3)*100),0)</f>
        <v>0</v>
      </c>
      <c r="CT231" s="83"/>
      <c r="CU231" s="91"/>
      <c r="CV231" s="91"/>
      <c r="CW231" s="91"/>
      <c r="CX231" s="256" t="str">
        <f t="shared" si="75"/>
        <v/>
      </c>
      <c r="CY231" s="293">
        <f>IF(PUSCR&lt;'Look Ups'!$AC$4,MIN(150,('Look Ups'!$AC$4-PUSCR)/('Look Ups'!$AC$4-'Look Ups'!$AC$3)*100),0)</f>
        <v>0</v>
      </c>
      <c r="CZ231" s="275">
        <f>IF(PUSCR&lt;'Look Ups'!$AC$4,USCRF*(USCRL1+USCRL2)/4+(USCRMG-USCRF/2)*(USCRL1+USCRL2)/3,0)</f>
        <v>0</v>
      </c>
      <c r="DA231" s="294">
        <f t="shared" si="76"/>
        <v>1</v>
      </c>
      <c r="DB231" s="256">
        <f t="shared" si="77"/>
        <v>26.864615000000001</v>
      </c>
      <c r="DC231" s="256">
        <f t="shared" si="78"/>
        <v>1</v>
      </c>
      <c r="DD231" s="256">
        <f t="shared" si="79"/>
        <v>13.118347999999999</v>
      </c>
      <c r="DE231" s="256">
        <f>IF(AZ231&gt;0,'Look Ups'!$S$3,0)</f>
        <v>1</v>
      </c>
      <c r="DF231" s="256">
        <f t="shared" si="80"/>
        <v>0</v>
      </c>
      <c r="DG231" s="256">
        <f t="shared" si="81"/>
        <v>0</v>
      </c>
      <c r="DH231" s="256">
        <f t="shared" si="82"/>
        <v>0</v>
      </c>
      <c r="DI231" s="280">
        <f t="shared" si="83"/>
        <v>0</v>
      </c>
      <c r="DJ231" s="295" t="str">
        <f t="shared" si="84"/>
        <v>-</v>
      </c>
      <c r="DK231" s="266" t="str">
        <f t="shared" si="85"/>
        <v>valid</v>
      </c>
      <c r="DL231" s="267" t="str">
        <f t="shared" si="86"/>
        <v>MGSP</v>
      </c>
      <c r="DM231" s="294">
        <f t="shared" si="87"/>
        <v>39.982962999999998</v>
      </c>
      <c r="DN231" s="256">
        <f>IF(MSASP&gt;0,'Look Ups'!$AI$4*(ZVAL*MSASP-RSAG),0)</f>
        <v>12.992940599999999</v>
      </c>
      <c r="DO231" s="256">
        <f>IF(AND(MSASC&gt;0,(MSASC&gt;=0.36*RSAM)),('Look Ups'!$AI$3*(ZVAL*MSASC-RSAG)),(0))</f>
        <v>0</v>
      </c>
      <c r="DP231" s="256">
        <f>IF(MSASP&gt;0,'Look Ups'!$AI$5*(ZVAL*MSASP-RSAG),0)</f>
        <v>12.126744560000001</v>
      </c>
      <c r="DQ231" s="256">
        <f>IF(MSASC&gt;0,'Look Ups'!$AI$6*(MSASC-RSAG),0)</f>
        <v>0</v>
      </c>
      <c r="DR231" s="280">
        <f>'Look Ups'!$AI$7*MAX(IF(MSAUSC&gt;0,EUSC/100*(MSAUSC-RSAG),0),IF(CR231="Yes",ELSC/100*(MSASC-RSAG),0))</f>
        <v>0</v>
      </c>
      <c r="DS231" s="280">
        <f t="shared" si="88"/>
        <v>9.6712614000000006</v>
      </c>
      <c r="DT231" s="296">
        <f t="shared" si="89"/>
        <v>52.975903599999995</v>
      </c>
      <c r="DU231" s="14"/>
    </row>
    <row r="232" spans="1:125" ht="15.6" customHeight="1" x14ac:dyDescent="0.3">
      <c r="A232" s="4"/>
      <c r="B232" s="365"/>
      <c r="C232" s="369" t="s">
        <v>808</v>
      </c>
      <c r="D232" s="370" t="s">
        <v>809</v>
      </c>
      <c r="E232" s="371" t="s">
        <v>810</v>
      </c>
      <c r="F232" s="252">
        <f t="shared" ca="1" si="60"/>
        <v>0.90500000000000003</v>
      </c>
      <c r="G232" s="252" t="str">
        <f ca="1">IF(OR(FLSCR="ERROR",FLSPI="ERROR"),"No",IF(TODAY()-'Look Ups'!$D$4*365&gt;I232,"WP Applied","Yes"))</f>
        <v>WP Applied</v>
      </c>
      <c r="H232" s="253" t="str">
        <f t="shared" si="61"/>
        <v>Main-Genoa-Screacher (Upwind)-Spinnaker</v>
      </c>
      <c r="I232" s="1">
        <v>37829</v>
      </c>
      <c r="J232" s="1"/>
      <c r="K232" s="87" t="s">
        <v>176</v>
      </c>
      <c r="L232" s="87" t="s">
        <v>641</v>
      </c>
      <c r="M232" s="207"/>
      <c r="N232" s="88" t="s">
        <v>271</v>
      </c>
      <c r="O232" s="88"/>
      <c r="P232" s="89">
        <v>5.5</v>
      </c>
      <c r="Q232" s="90">
        <v>7.46</v>
      </c>
      <c r="R232" s="87"/>
      <c r="S232" s="256">
        <f t="shared" si="62"/>
        <v>0.1865</v>
      </c>
      <c r="T232" s="117">
        <v>0.23</v>
      </c>
      <c r="U232" s="117">
        <v>0</v>
      </c>
      <c r="V232" s="258">
        <f t="shared" si="63"/>
        <v>7.2299999999999995</v>
      </c>
      <c r="W232" s="259">
        <f>IF(RL&gt;0,IF(RL&gt;'Look Ups'!Y$7,'Look Ups'!Y$8,('Look Ups'!Y$3*RL^3+'Look Ups'!Y$4*RL^2+'Look Ups'!Y$5*RL+'Look Ups'!Y$6)),0)</f>
        <v>0.29077473121100006</v>
      </c>
      <c r="X232" s="92">
        <v>965</v>
      </c>
      <c r="Y232" s="263">
        <f ca="1">IF(WDATE&lt;(TODAY()-'Look Ups'!$D$4*365),-WM*'Look Ups'!$D$5/100,0)</f>
        <v>-144.75</v>
      </c>
      <c r="Z232" s="103"/>
      <c r="AA232" s="109"/>
      <c r="AB232" s="109"/>
      <c r="AC232" s="265">
        <f>WCD+NC*'Look Ups'!$AF$3</f>
        <v>0</v>
      </c>
      <c r="AD232" s="265">
        <f ca="1">IF(RL&lt;'Look Ups'!AM$3,'Look Ups'!AM$4,IF(RL&gt;'Look Ups'!AM$5,'Look Ups'!AM$6,(RL-'Look Ups'!AM$3)/('Look Ups'!AM$5-'Look Ups'!AM$3)*('Look Ups'!AM$6-'Look Ups'!AM$4)+'Look Ups'!AM$4))/100*WS</f>
        <v>230.26654545454545</v>
      </c>
      <c r="AE232" s="269">
        <f t="shared" ca="1" si="64"/>
        <v>820.25</v>
      </c>
      <c r="AF232" s="267">
        <f t="shared" ca="1" si="65"/>
        <v>820.25</v>
      </c>
      <c r="AG232" s="94" t="s">
        <v>145</v>
      </c>
      <c r="AH232" s="95" t="s">
        <v>146</v>
      </c>
      <c r="AI232" s="96" t="s">
        <v>147</v>
      </c>
      <c r="AJ232" s="218"/>
      <c r="AK232" s="273">
        <f>IF(C232="",0,VLOOKUP(AG232,'Look Ups'!$F$3:$G$6,2,0)*VLOOKUP(AH232,'Look Ups'!$I$3:$J$5,2,0)*VLOOKUP(AI232,'Look Ups'!$L$3:$M$7,2,0)*IF(AJ232="",1,VLOOKUP(AJ232,'Look Ups'!$O$3:$P$4,2,0)))</f>
        <v>1</v>
      </c>
      <c r="AL232" s="83">
        <v>9.06</v>
      </c>
      <c r="AM232" s="91">
        <v>8.7899999999999991</v>
      </c>
      <c r="AN232" s="91">
        <v>3.32</v>
      </c>
      <c r="AO232" s="91">
        <v>0.74</v>
      </c>
      <c r="AP232" s="91">
        <v>0.72</v>
      </c>
      <c r="AQ232" s="91">
        <v>8.6999999999999993</v>
      </c>
      <c r="AR232" s="91">
        <v>0.11</v>
      </c>
      <c r="AS232" s="91">
        <v>3.46</v>
      </c>
      <c r="AT232" s="91">
        <v>0</v>
      </c>
      <c r="AU232" s="91">
        <v>0.41</v>
      </c>
      <c r="AV232" s="91" t="s">
        <v>148</v>
      </c>
      <c r="AW232" s="97">
        <v>0</v>
      </c>
      <c r="AX232" s="256">
        <f t="shared" si="66"/>
        <v>8.6999999999999993</v>
      </c>
      <c r="AY232" s="256">
        <f t="shared" si="67"/>
        <v>1.3376249999999998</v>
      </c>
      <c r="AZ232" s="275">
        <f>IF(C232="",0,(0.5*(_ML1*LPM)+0.5*(_ML1*HB)+0.66*(P*PR)+0.66*(_ML2*RDM)+0.66*(E*ER))*VLOOKUP(BATT,'Look Ups'!$U$3:$V$4,2,0))</f>
        <v>23.200428000000002</v>
      </c>
      <c r="BA232" s="98"/>
      <c r="BB232" s="99"/>
      <c r="BC232" s="83">
        <v>8.33</v>
      </c>
      <c r="BD232" s="91">
        <v>3.2</v>
      </c>
      <c r="BE232" s="91">
        <v>3.59</v>
      </c>
      <c r="BF232" s="91">
        <v>0.12</v>
      </c>
      <c r="BG232" s="91">
        <v>7.42</v>
      </c>
      <c r="BH232" s="91"/>
      <c r="BI232" s="91"/>
      <c r="BJ232" s="91">
        <v>0.16</v>
      </c>
      <c r="BK232" s="91">
        <v>0.03</v>
      </c>
      <c r="BL232" s="97"/>
      <c r="BM232" s="275">
        <f t="shared" si="68"/>
        <v>14.560814000000002</v>
      </c>
      <c r="BN232" s="319"/>
      <c r="BO232" s="320"/>
      <c r="BP232" s="321"/>
      <c r="BQ232" s="321"/>
      <c r="BR232" s="320"/>
      <c r="BS232" s="321"/>
      <c r="BT232" s="321"/>
      <c r="BU232" s="280">
        <f t="shared" si="69"/>
        <v>0</v>
      </c>
      <c r="BV232" s="322"/>
      <c r="BW232" s="320"/>
      <c r="BX232" s="320"/>
      <c r="BY232" s="320"/>
      <c r="BZ232" s="320"/>
      <c r="CA232" s="320"/>
      <c r="CB232" s="320"/>
      <c r="CC232" s="275">
        <f t="shared" si="70"/>
        <v>0</v>
      </c>
      <c r="CD232" s="98">
        <v>6.25</v>
      </c>
      <c r="CE232" s="91">
        <v>10.050000000000001</v>
      </c>
      <c r="CF232" s="91">
        <v>8.3699999999999992</v>
      </c>
      <c r="CG232" s="91">
        <v>5.39</v>
      </c>
      <c r="CH232" s="266">
        <f t="shared" si="71"/>
        <v>86.24</v>
      </c>
      <c r="CI232" s="320"/>
      <c r="CJ232" s="280">
        <f t="shared" si="72"/>
        <v>42.68835</v>
      </c>
      <c r="CK232" s="83">
        <v>6.25</v>
      </c>
      <c r="CL232" s="91">
        <v>9.2899999999999991</v>
      </c>
      <c r="CM232" s="91">
        <v>8.3699999999999992</v>
      </c>
      <c r="CN232" s="91">
        <v>2.71</v>
      </c>
      <c r="CO232" s="256">
        <f t="shared" si="73"/>
        <v>43.36</v>
      </c>
      <c r="CP232" s="320"/>
      <c r="CQ232" s="256">
        <f t="shared" si="74"/>
        <v>25.150783333333326</v>
      </c>
      <c r="CR232" s="256" t="str">
        <f>IF(CO232&lt;'Look Ups'!$AC$4,"Yes","No")</f>
        <v>Yes</v>
      </c>
      <c r="CS232" s="293">
        <f>IF(CR232="Yes",MIN(150,('Look Ups'!$AC$4-PSCR)/('Look Ups'!$AC$4-'Look Ups'!$AC$3)*100),0)</f>
        <v>150</v>
      </c>
      <c r="CT232" s="83"/>
      <c r="CU232" s="91"/>
      <c r="CV232" s="91"/>
      <c r="CW232" s="91"/>
      <c r="CX232" s="256" t="str">
        <f t="shared" si="75"/>
        <v/>
      </c>
      <c r="CY232" s="293">
        <f>IF(PUSCR&lt;'Look Ups'!$AC$4,MIN(150,('Look Ups'!$AC$4-PUSCR)/('Look Ups'!$AC$4-'Look Ups'!$AC$3)*100),0)</f>
        <v>0</v>
      </c>
      <c r="CZ232" s="275">
        <f>IF(PUSCR&lt;'Look Ups'!$AC$4,USCRF*(USCRL1+USCRL2)/4+(USCRMG-USCRF/2)*(USCRL1+USCRL2)/3,0)</f>
        <v>0</v>
      </c>
      <c r="DA232" s="294">
        <f t="shared" si="76"/>
        <v>1</v>
      </c>
      <c r="DB232" s="256">
        <f t="shared" si="77"/>
        <v>24.538053000000001</v>
      </c>
      <c r="DC232" s="256">
        <f t="shared" si="78"/>
        <v>1</v>
      </c>
      <c r="DD232" s="256">
        <f t="shared" si="79"/>
        <v>14.560814000000002</v>
      </c>
      <c r="DE232" s="256">
        <f>IF(AZ232&gt;0,'Look Ups'!$S$3,0)</f>
        <v>1</v>
      </c>
      <c r="DF232" s="256">
        <f t="shared" si="80"/>
        <v>0</v>
      </c>
      <c r="DG232" s="256">
        <f t="shared" si="81"/>
        <v>0</v>
      </c>
      <c r="DH232" s="256">
        <f t="shared" si="82"/>
        <v>0</v>
      </c>
      <c r="DI232" s="280">
        <f t="shared" si="83"/>
        <v>0</v>
      </c>
      <c r="DJ232" s="295" t="str">
        <f t="shared" si="84"/>
        <v>valid</v>
      </c>
      <c r="DK232" s="266" t="str">
        <f t="shared" si="85"/>
        <v>valid</v>
      </c>
      <c r="DL232" s="267" t="str">
        <f t="shared" si="86"/>
        <v>MGScrSP</v>
      </c>
      <c r="DM232" s="294">
        <f t="shared" si="87"/>
        <v>39.098867000000006</v>
      </c>
      <c r="DN232" s="256">
        <f>IF(MSASP&gt;0,'Look Ups'!$AI$4*(ZVAL*MSASP-RSAG),0)</f>
        <v>8.4382608000000001</v>
      </c>
      <c r="DO232" s="256">
        <f>IF(AND(MSASC&gt;0,(MSASC&gt;=0.36*RSAM)),('Look Ups'!$AI$3*(ZVAL*MSASC-RSAG)),(0))</f>
        <v>3.7064892666666629</v>
      </c>
      <c r="DP232" s="256">
        <f>IF(MSASP&gt;0,'Look Ups'!$AI$5*(ZVAL*MSASP-RSAG),0)</f>
        <v>7.8757100800000002</v>
      </c>
      <c r="DQ232" s="256">
        <f>IF(MSASC&gt;0,'Look Ups'!$AI$6*(MSASC-RSAG),0)</f>
        <v>0.74129785333333276</v>
      </c>
      <c r="DR232" s="280">
        <f>'Look Ups'!$AI$7*MAX(IF(MSAUSC&gt;0,EUSC/100*(MSAUSC-RSAG),0),IF(CR232="Yes",ELSC/100*(MSASC-RSAG),0))</f>
        <v>3.9712384999999966</v>
      </c>
      <c r="DS232" s="280">
        <f t="shared" si="88"/>
        <v>8.8336990800000006</v>
      </c>
      <c r="DT232" s="296">
        <f t="shared" si="89"/>
        <v>51.687113433333337</v>
      </c>
      <c r="DU232" s="14"/>
    </row>
    <row r="233" spans="1:125" ht="15.6" customHeight="1" x14ac:dyDescent="0.3">
      <c r="A233" s="4"/>
      <c r="B233" s="365"/>
      <c r="C233" s="369" t="s">
        <v>811</v>
      </c>
      <c r="D233" s="370" t="s">
        <v>812</v>
      </c>
      <c r="E233" s="371" t="s">
        <v>813</v>
      </c>
      <c r="F233" s="252">
        <f t="shared" ca="1" si="60"/>
        <v>0.61899999999999999</v>
      </c>
      <c r="G233" s="252" t="str">
        <f ca="1">IF(OR(FLSCR="ERROR",FLSPI="ERROR"),"No",IF(TODAY()-'Look Ups'!$D$4*365&gt;I233,"WP Applied","Yes"))</f>
        <v>WP Applied</v>
      </c>
      <c r="H233" s="253" t="str">
        <f t="shared" si="61"/>
        <v>Main-Genoa-Spinnaker</v>
      </c>
      <c r="I233" s="1">
        <v>38063</v>
      </c>
      <c r="J233" s="1"/>
      <c r="K233" s="87" t="s">
        <v>640</v>
      </c>
      <c r="L233" s="87" t="s">
        <v>641</v>
      </c>
      <c r="M233" s="207"/>
      <c r="N233" s="88" t="s">
        <v>165</v>
      </c>
      <c r="O233" s="88"/>
      <c r="P233" s="89">
        <v>6.1</v>
      </c>
      <c r="Q233" s="90">
        <v>10.72</v>
      </c>
      <c r="R233" s="87"/>
      <c r="S233" s="256">
        <f t="shared" si="62"/>
        <v>0.26800000000000002</v>
      </c>
      <c r="T233" s="117">
        <v>0.19</v>
      </c>
      <c r="U233" s="117">
        <v>0</v>
      </c>
      <c r="V233" s="258">
        <f t="shared" si="63"/>
        <v>10.530000000000001</v>
      </c>
      <c r="W233" s="259">
        <f>IF(RL&gt;0,IF(RL&gt;'Look Ups'!Y$7,'Look Ups'!Y$8,('Look Ups'!Y$3*RL^3+'Look Ups'!Y$4*RL^2+'Look Ups'!Y$5*RL+'Look Ups'!Y$6)),0)</f>
        <v>0.29913174394100001</v>
      </c>
      <c r="X233" s="92">
        <v>6750</v>
      </c>
      <c r="Y233" s="263">
        <f ca="1">IF(WDATE&lt;(TODAY()-'Look Ups'!$D$4*365),-WM*'Look Ups'!$D$5/100,0)</f>
        <v>-1012.5</v>
      </c>
      <c r="Z233" s="103"/>
      <c r="AA233" s="109"/>
      <c r="AB233" s="109"/>
      <c r="AC233" s="265">
        <f>WCD+NC*'Look Ups'!$AF$3</f>
        <v>0</v>
      </c>
      <c r="AD233" s="265">
        <f ca="1">IF(RL&lt;'Look Ups'!AM$3,'Look Ups'!AM$4,IF(RL&gt;'Look Ups'!AM$5,'Look Ups'!AM$6,(RL-'Look Ups'!AM$3)/('Look Ups'!AM$5-'Look Ups'!AM$3)*('Look Ups'!AM$6-'Look Ups'!AM$4)+'Look Ups'!AM$4))/100*WS</f>
        <v>922.17272727272689</v>
      </c>
      <c r="AE233" s="269">
        <f t="shared" ca="1" si="64"/>
        <v>5737.5</v>
      </c>
      <c r="AF233" s="267">
        <f t="shared" ca="1" si="65"/>
        <v>5737.5</v>
      </c>
      <c r="AG233" s="94" t="s">
        <v>263</v>
      </c>
      <c r="AH233" s="95" t="s">
        <v>146</v>
      </c>
      <c r="AI233" s="96" t="s">
        <v>177</v>
      </c>
      <c r="AJ233" s="218"/>
      <c r="AK233" s="273">
        <f>IF(C233="",0,VLOOKUP(AG233,'Look Ups'!$F$3:$G$6,2,0)*VLOOKUP(AH233,'Look Ups'!$I$3:$J$5,2,0)*VLOOKUP(AI233,'Look Ups'!$L$3:$M$7,2,0)*IF(AJ233="",1,VLOOKUP(AJ233,'Look Ups'!$O$3:$P$4,2,0)))</f>
        <v>0.98504999999999998</v>
      </c>
      <c r="AL233" s="83">
        <v>13.65</v>
      </c>
      <c r="AM233" s="91">
        <v>13.62</v>
      </c>
      <c r="AN233" s="91">
        <v>4.7</v>
      </c>
      <c r="AO233" s="91">
        <v>0.09</v>
      </c>
      <c r="AP233" s="91">
        <v>0.41</v>
      </c>
      <c r="AQ233" s="91">
        <v>13.02</v>
      </c>
      <c r="AR233" s="91">
        <v>0.19</v>
      </c>
      <c r="AS233" s="91">
        <v>4.93</v>
      </c>
      <c r="AT233" s="91">
        <v>0</v>
      </c>
      <c r="AU233" s="91"/>
      <c r="AV233" s="91" t="s">
        <v>148</v>
      </c>
      <c r="AW233" s="97">
        <v>0</v>
      </c>
      <c r="AX233" s="256">
        <f t="shared" si="66"/>
        <v>13.02</v>
      </c>
      <c r="AY233" s="256">
        <f t="shared" si="67"/>
        <v>0</v>
      </c>
      <c r="AZ233" s="275">
        <f>IF(C233="",0,(0.5*(_ML1*LPM)+0.5*(_ML1*HB)+0.66*(P*PR)+0.66*(_ML2*RDM)+0.66*(E*ER))*VLOOKUP(BATT,'Look Ups'!$U$3:$V$4,2,0))</f>
        <v>38.01003</v>
      </c>
      <c r="BA233" s="98"/>
      <c r="BB233" s="99"/>
      <c r="BC233" s="83">
        <v>12.61</v>
      </c>
      <c r="BD233" s="91">
        <v>2.94</v>
      </c>
      <c r="BE233" s="91">
        <v>3.1</v>
      </c>
      <c r="BF233" s="91">
        <v>7.0000000000000007E-2</v>
      </c>
      <c r="BG233" s="91">
        <v>11.81</v>
      </c>
      <c r="BH233" s="91"/>
      <c r="BI233" s="91"/>
      <c r="BJ233" s="91">
        <v>-0.15</v>
      </c>
      <c r="BK233" s="91">
        <v>0</v>
      </c>
      <c r="BL233" s="97"/>
      <c r="BM233" s="275">
        <f t="shared" si="68"/>
        <v>17.510729999999999</v>
      </c>
      <c r="BN233" s="319"/>
      <c r="BO233" s="320"/>
      <c r="BP233" s="321"/>
      <c r="BQ233" s="321"/>
      <c r="BR233" s="320"/>
      <c r="BS233" s="321"/>
      <c r="BT233" s="321"/>
      <c r="BU233" s="280">
        <f t="shared" si="69"/>
        <v>0</v>
      </c>
      <c r="BV233" s="322"/>
      <c r="BW233" s="320"/>
      <c r="BX233" s="320"/>
      <c r="BY233" s="320"/>
      <c r="BZ233" s="320"/>
      <c r="CA233" s="320"/>
      <c r="CB233" s="320"/>
      <c r="CC233" s="275">
        <f t="shared" si="70"/>
        <v>0</v>
      </c>
      <c r="CD233" s="98">
        <v>7.49</v>
      </c>
      <c r="CE233" s="91">
        <v>13.42</v>
      </c>
      <c r="CF233" s="91">
        <v>12</v>
      </c>
      <c r="CG233" s="91">
        <v>7.11</v>
      </c>
      <c r="CH233" s="266">
        <f t="shared" si="71"/>
        <v>94.926568758344459</v>
      </c>
      <c r="CI233" s="320"/>
      <c r="CJ233" s="280">
        <f t="shared" si="72"/>
        <v>76.111716666666666</v>
      </c>
      <c r="CK233" s="83">
        <v>0</v>
      </c>
      <c r="CL233" s="91"/>
      <c r="CM233" s="91"/>
      <c r="CN233" s="91"/>
      <c r="CO233" s="256" t="str">
        <f t="shared" si="73"/>
        <v/>
      </c>
      <c r="CP233" s="320"/>
      <c r="CQ233" s="256">
        <f t="shared" si="74"/>
        <v>0</v>
      </c>
      <c r="CR233" s="256" t="str">
        <f>IF(CO233&lt;'Look Ups'!$AC$4,"Yes","No")</f>
        <v>No</v>
      </c>
      <c r="CS233" s="293">
        <f>IF(CR233="Yes",MIN(150,('Look Ups'!$AC$4-PSCR)/('Look Ups'!$AC$4-'Look Ups'!$AC$3)*100),0)</f>
        <v>0</v>
      </c>
      <c r="CT233" s="83"/>
      <c r="CU233" s="91"/>
      <c r="CV233" s="91"/>
      <c r="CW233" s="91"/>
      <c r="CX233" s="256" t="str">
        <f t="shared" si="75"/>
        <v/>
      </c>
      <c r="CY233" s="293">
        <f>IF(PUSCR&lt;'Look Ups'!$AC$4,MIN(150,('Look Ups'!$AC$4-PUSCR)/('Look Ups'!$AC$4-'Look Ups'!$AC$3)*100),0)</f>
        <v>0</v>
      </c>
      <c r="CZ233" s="275">
        <f>IF(PUSCR&lt;'Look Ups'!$AC$4,USCRF*(USCRL1+USCRL2)/4+(USCRMG-USCRF/2)*(USCRL1+USCRL2)/3,0)</f>
        <v>0</v>
      </c>
      <c r="DA233" s="294">
        <f t="shared" si="76"/>
        <v>1</v>
      </c>
      <c r="DB233" s="256">
        <f t="shared" si="77"/>
        <v>38.01003</v>
      </c>
      <c r="DC233" s="256">
        <f t="shared" si="78"/>
        <v>1</v>
      </c>
      <c r="DD233" s="256">
        <f t="shared" si="79"/>
        <v>17.510729999999999</v>
      </c>
      <c r="DE233" s="256">
        <f>IF(AZ233&gt;0,'Look Ups'!$S$3,0)</f>
        <v>1</v>
      </c>
      <c r="DF233" s="256">
        <f t="shared" si="80"/>
        <v>0</v>
      </c>
      <c r="DG233" s="256">
        <f t="shared" si="81"/>
        <v>0</v>
      </c>
      <c r="DH233" s="256">
        <f t="shared" si="82"/>
        <v>0</v>
      </c>
      <c r="DI233" s="280">
        <f t="shared" si="83"/>
        <v>0</v>
      </c>
      <c r="DJ233" s="295" t="str">
        <f t="shared" si="84"/>
        <v>-</v>
      </c>
      <c r="DK233" s="266" t="str">
        <f t="shared" si="85"/>
        <v>valid</v>
      </c>
      <c r="DL233" s="267" t="str">
        <f t="shared" si="86"/>
        <v>MGSP</v>
      </c>
      <c r="DM233" s="294">
        <f t="shared" si="87"/>
        <v>55.520759999999996</v>
      </c>
      <c r="DN233" s="256">
        <f>IF(MSASP&gt;0,'Look Ups'!$AI$4*(ZVAL*MSASP-RSAG),0)</f>
        <v>17.580296000000001</v>
      </c>
      <c r="DO233" s="256">
        <f>IF(AND(MSASC&gt;0,(MSASC&gt;=0.36*RSAM)),('Look Ups'!$AI$3*(ZVAL*MSASC-RSAG)),(0))</f>
        <v>0</v>
      </c>
      <c r="DP233" s="256">
        <f>IF(MSASP&gt;0,'Look Ups'!$AI$5*(ZVAL*MSASP-RSAG),0)</f>
        <v>16.408276266666668</v>
      </c>
      <c r="DQ233" s="256">
        <f>IF(MSASC&gt;0,'Look Ups'!$AI$6*(MSASC-RSAG),0)</f>
        <v>0</v>
      </c>
      <c r="DR233" s="280">
        <f>'Look Ups'!$AI$7*MAX(IF(MSAUSC&gt;0,EUSC/100*(MSAUSC-RSAG),0),IF(CR233="Yes",ELSC/100*(MSASC-RSAG),0))</f>
        <v>0</v>
      </c>
      <c r="DS233" s="280">
        <f t="shared" si="88"/>
        <v>13.6836108</v>
      </c>
      <c r="DT233" s="296">
        <f t="shared" si="89"/>
        <v>73.101056</v>
      </c>
      <c r="DU233" s="14"/>
    </row>
    <row r="234" spans="1:125" ht="15.6" customHeight="1" x14ac:dyDescent="0.3">
      <c r="A234" s="4"/>
      <c r="B234" s="365"/>
      <c r="C234" s="369" t="s">
        <v>814</v>
      </c>
      <c r="D234" s="370" t="s">
        <v>173</v>
      </c>
      <c r="E234" s="371" t="s">
        <v>815</v>
      </c>
      <c r="F234" s="252">
        <f t="shared" ca="1" si="60"/>
        <v>0.98</v>
      </c>
      <c r="G234" s="252" t="str">
        <f ca="1">IF(OR(FLSCR="ERROR",FLSPI="ERROR"),"No",IF(TODAY()-'Look Ups'!$D$4*365&gt;I234,"WP Applied","Yes"))</f>
        <v>WP Applied</v>
      </c>
      <c r="H234" s="253" t="str">
        <f t="shared" si="61"/>
        <v>Main-Genoa-Spinnaker</v>
      </c>
      <c r="I234" s="1">
        <v>40955</v>
      </c>
      <c r="J234" s="1"/>
      <c r="K234" s="87" t="s">
        <v>373</v>
      </c>
      <c r="L234" s="87" t="s">
        <v>170</v>
      </c>
      <c r="M234" s="207"/>
      <c r="N234" s="88" t="s">
        <v>165</v>
      </c>
      <c r="O234" s="88"/>
      <c r="P234" s="89"/>
      <c r="Q234" s="90">
        <v>15.765000000000001</v>
      </c>
      <c r="R234" s="87"/>
      <c r="S234" s="256">
        <f t="shared" si="62"/>
        <v>0.39412500000000006</v>
      </c>
      <c r="T234" s="117"/>
      <c r="U234" s="117"/>
      <c r="V234" s="258">
        <f t="shared" si="63"/>
        <v>15.765000000000001</v>
      </c>
      <c r="W234" s="259">
        <f>IF(RL&gt;0,IF(RL&gt;'Look Ups'!Y$7,'Look Ups'!Y$8,('Look Ups'!Y$3*RL^3+'Look Ups'!Y$4*RL^2+'Look Ups'!Y$5*RL+'Look Ups'!Y$6)),0)</f>
        <v>0.3</v>
      </c>
      <c r="X234" s="92">
        <v>7139</v>
      </c>
      <c r="Y234" s="263">
        <f ca="1">IF(WDATE&lt;(TODAY()-'Look Ups'!$D$4*365),-WM*'Look Ups'!$D$5/100,0)</f>
        <v>-1070.8499999999999</v>
      </c>
      <c r="Z234" s="103"/>
      <c r="AA234" s="109"/>
      <c r="AB234" s="109"/>
      <c r="AC234" s="265">
        <f>WCD+NC*'Look Ups'!$AF$3</f>
        <v>0</v>
      </c>
      <c r="AD234" s="265">
        <f ca="1">IF(RL&lt;'Look Ups'!AM$3,'Look Ups'!AM$4,IF(RL&gt;'Look Ups'!AM$5,'Look Ups'!AM$6,(RL-'Look Ups'!AM$3)/('Look Ups'!AM$5-'Look Ups'!AM$3)*('Look Ups'!AM$6-'Look Ups'!AM$4)+'Look Ups'!AM$4))/100*WS</f>
        <v>606.81499999999994</v>
      </c>
      <c r="AE234" s="269">
        <f t="shared" ca="1" si="64"/>
        <v>6068.15</v>
      </c>
      <c r="AF234" s="267">
        <f t="shared" ca="1" si="65"/>
        <v>6068.15</v>
      </c>
      <c r="AG234" s="94" t="s">
        <v>145</v>
      </c>
      <c r="AH234" s="95" t="s">
        <v>146</v>
      </c>
      <c r="AI234" s="96" t="s">
        <v>177</v>
      </c>
      <c r="AJ234" s="218"/>
      <c r="AK234" s="273">
        <f>IF(C234="",0,VLOOKUP(AG234,'Look Ups'!$F$3:$G$6,2,0)*VLOOKUP(AH234,'Look Ups'!$I$3:$J$5,2,0)*VLOOKUP(AI234,'Look Ups'!$L$3:$M$7,2,0)*IF(AJ234="",1,VLOOKUP(AJ234,'Look Ups'!$O$3:$P$4,2,0)))</f>
        <v>0.99</v>
      </c>
      <c r="AL234" s="83">
        <v>20.45</v>
      </c>
      <c r="AM234" s="91">
        <v>20.2</v>
      </c>
      <c r="AN234" s="91">
        <v>5</v>
      </c>
      <c r="AO234" s="91">
        <v>2.0299999999999998</v>
      </c>
      <c r="AP234" s="91">
        <v>0.52</v>
      </c>
      <c r="AQ234" s="91">
        <v>20.2</v>
      </c>
      <c r="AR234" s="91">
        <v>0.17</v>
      </c>
      <c r="AS234" s="91">
        <v>5.0999999999999996</v>
      </c>
      <c r="AT234" s="91">
        <v>0.05</v>
      </c>
      <c r="AU234" s="91"/>
      <c r="AV234" s="91" t="s">
        <v>148</v>
      </c>
      <c r="AW234" s="97"/>
      <c r="AX234" s="256">
        <f t="shared" si="66"/>
        <v>20.25</v>
      </c>
      <c r="AY234" s="256">
        <f t="shared" si="67"/>
        <v>0</v>
      </c>
      <c r="AZ234" s="275">
        <f>IF(C234="",0,(0.5*(_ML1*LPM)+0.5*(_ML1*HB)+0.66*(P*PR)+0.66*(_ML2*RDM)+0.66*(E*ER))*VLOOKUP(BATT,'Look Ups'!$U$3:$V$4,2,0))</f>
        <v>81.249130000000008</v>
      </c>
      <c r="BA234" s="98"/>
      <c r="BB234" s="99"/>
      <c r="BC234" s="83">
        <v>18.77</v>
      </c>
      <c r="BD234" s="91">
        <v>6.06</v>
      </c>
      <c r="BE234" s="91">
        <v>7.02</v>
      </c>
      <c r="BF234" s="91">
        <v>0.31</v>
      </c>
      <c r="BG234" s="91">
        <v>16.38</v>
      </c>
      <c r="BH234" s="91"/>
      <c r="BI234" s="91"/>
      <c r="BJ234" s="91">
        <v>-0.23</v>
      </c>
      <c r="BK234" s="91">
        <v>-0.05</v>
      </c>
      <c r="BL234" s="97"/>
      <c r="BM234" s="275">
        <f t="shared" si="68"/>
        <v>55.203497999999996</v>
      </c>
      <c r="BN234" s="319"/>
      <c r="BO234" s="320"/>
      <c r="BP234" s="321"/>
      <c r="BQ234" s="321"/>
      <c r="BR234" s="320"/>
      <c r="BS234" s="321"/>
      <c r="BT234" s="321"/>
      <c r="BU234" s="280">
        <f t="shared" si="69"/>
        <v>0</v>
      </c>
      <c r="BV234" s="322"/>
      <c r="BW234" s="320"/>
      <c r="BX234" s="320"/>
      <c r="BY234" s="320"/>
      <c r="BZ234" s="320"/>
      <c r="CA234" s="320"/>
      <c r="CB234" s="320"/>
      <c r="CC234" s="275">
        <f t="shared" si="70"/>
        <v>0</v>
      </c>
      <c r="CD234" s="98">
        <v>10.7</v>
      </c>
      <c r="CE234" s="91">
        <v>23.3</v>
      </c>
      <c r="CF234" s="91">
        <v>19.32</v>
      </c>
      <c r="CG234" s="91">
        <v>10.29</v>
      </c>
      <c r="CH234" s="266">
        <f t="shared" si="71"/>
        <v>96.168224299065415</v>
      </c>
      <c r="CI234" s="320"/>
      <c r="CJ234" s="280">
        <f t="shared" si="72"/>
        <v>184.18943333333334</v>
      </c>
      <c r="CK234" s="83"/>
      <c r="CL234" s="91"/>
      <c r="CM234" s="91"/>
      <c r="CN234" s="91"/>
      <c r="CO234" s="256" t="str">
        <f t="shared" si="73"/>
        <v/>
      </c>
      <c r="CP234" s="320"/>
      <c r="CQ234" s="256">
        <f t="shared" si="74"/>
        <v>0</v>
      </c>
      <c r="CR234" s="256" t="str">
        <f>IF(CO234&lt;'Look Ups'!$AC$4,"Yes","No")</f>
        <v>No</v>
      </c>
      <c r="CS234" s="293">
        <f>IF(CR234="Yes",MIN(150,('Look Ups'!$AC$4-PSCR)/('Look Ups'!$AC$4-'Look Ups'!$AC$3)*100),0)</f>
        <v>0</v>
      </c>
      <c r="CT234" s="83"/>
      <c r="CU234" s="91"/>
      <c r="CV234" s="91"/>
      <c r="CW234" s="91"/>
      <c r="CX234" s="256" t="str">
        <f t="shared" si="75"/>
        <v/>
      </c>
      <c r="CY234" s="293">
        <f>IF(PUSCR&lt;'Look Ups'!$AC$4,MIN(150,('Look Ups'!$AC$4-PUSCR)/('Look Ups'!$AC$4-'Look Ups'!$AC$3)*100),0)</f>
        <v>0</v>
      </c>
      <c r="CZ234" s="275">
        <f>IF(PUSCR&lt;'Look Ups'!$AC$4,USCRF*(USCRL1+USCRL2)/4+(USCRMG-USCRF/2)*(USCRL1+USCRL2)/3,0)</f>
        <v>0</v>
      </c>
      <c r="DA234" s="294">
        <f t="shared" si="76"/>
        <v>1</v>
      </c>
      <c r="DB234" s="256">
        <f t="shared" si="77"/>
        <v>81.249130000000008</v>
      </c>
      <c r="DC234" s="256">
        <f t="shared" si="78"/>
        <v>1</v>
      </c>
      <c r="DD234" s="256">
        <f t="shared" si="79"/>
        <v>55.203497999999996</v>
      </c>
      <c r="DE234" s="256">
        <f>IF(AZ234&gt;0,'Look Ups'!$S$3,0)</f>
        <v>1</v>
      </c>
      <c r="DF234" s="256">
        <f t="shared" si="80"/>
        <v>0</v>
      </c>
      <c r="DG234" s="256">
        <f t="shared" si="81"/>
        <v>0</v>
      </c>
      <c r="DH234" s="256">
        <f t="shared" si="82"/>
        <v>0</v>
      </c>
      <c r="DI234" s="280">
        <f t="shared" si="83"/>
        <v>0</v>
      </c>
      <c r="DJ234" s="295" t="str">
        <f t="shared" si="84"/>
        <v>-</v>
      </c>
      <c r="DK234" s="266" t="str">
        <f t="shared" si="85"/>
        <v>valid</v>
      </c>
      <c r="DL234" s="267" t="str">
        <f t="shared" si="86"/>
        <v>MGSP</v>
      </c>
      <c r="DM234" s="294">
        <f t="shared" si="87"/>
        <v>136.452628</v>
      </c>
      <c r="DN234" s="256">
        <f>IF(MSASP&gt;0,'Look Ups'!$AI$4*(ZVAL*MSASP-RSAG),0)</f>
        <v>38.695780599999999</v>
      </c>
      <c r="DO234" s="256">
        <f>IF(AND(MSASC&gt;0,(MSASC&gt;=0.36*RSAM)),('Look Ups'!$AI$3*(ZVAL*MSASC-RSAG)),(0))</f>
        <v>0</v>
      </c>
      <c r="DP234" s="256">
        <f>IF(MSASP&gt;0,'Look Ups'!$AI$5*(ZVAL*MSASP-RSAG),0)</f>
        <v>36.116061893333338</v>
      </c>
      <c r="DQ234" s="256">
        <f>IF(MSASC&gt;0,'Look Ups'!$AI$6*(MSASC-RSAG),0)</f>
        <v>0</v>
      </c>
      <c r="DR234" s="280">
        <f>'Look Ups'!$AI$7*MAX(IF(MSAUSC&gt;0,EUSC/100*(MSAUSC-RSAG),0),IF(CR234="Yes",ELSC/100*(MSASC-RSAG),0))</f>
        <v>0</v>
      </c>
      <c r="DS234" s="280">
        <f t="shared" si="88"/>
        <v>29.249686800000003</v>
      </c>
      <c r="DT234" s="296">
        <f t="shared" si="89"/>
        <v>175.14840860000001</v>
      </c>
      <c r="DU234" s="14"/>
    </row>
    <row r="235" spans="1:125" ht="15.6" customHeight="1" x14ac:dyDescent="0.3">
      <c r="A235" s="4"/>
      <c r="B235" s="365"/>
      <c r="C235" s="369" t="s">
        <v>816</v>
      </c>
      <c r="D235" s="370" t="s">
        <v>817</v>
      </c>
      <c r="E235" s="371" t="s">
        <v>818</v>
      </c>
      <c r="F235" s="252">
        <f t="shared" ca="1" si="60"/>
        <v>1.1140000000000001</v>
      </c>
      <c r="G235" s="252" t="str">
        <f ca="1">IF(OR(FLSCR="ERROR",FLSPI="ERROR"),"No",IF(TODAY()-'Look Ups'!$D$4*365&gt;I235,"WP Applied","Yes"))</f>
        <v>WP Applied</v>
      </c>
      <c r="H235" s="253" t="str">
        <f t="shared" si="61"/>
        <v>Main-Genoa-Screacher (Upwind)-Spinnaker</v>
      </c>
      <c r="I235" s="1">
        <v>41354</v>
      </c>
      <c r="J235" s="1">
        <v>43499</v>
      </c>
      <c r="K235" s="87" t="s">
        <v>153</v>
      </c>
      <c r="L235" s="87" t="s">
        <v>142</v>
      </c>
      <c r="M235" s="207"/>
      <c r="N235" s="88" t="s">
        <v>143</v>
      </c>
      <c r="O235" s="88" t="s">
        <v>144</v>
      </c>
      <c r="P235" s="89"/>
      <c r="Q235" s="90">
        <v>9.14</v>
      </c>
      <c r="R235" s="87"/>
      <c r="S235" s="256">
        <f t="shared" si="62"/>
        <v>0.22850000000000004</v>
      </c>
      <c r="T235" s="117">
        <v>7.4999999999999997E-2</v>
      </c>
      <c r="U235" s="117">
        <v>0</v>
      </c>
      <c r="V235" s="258">
        <f t="shared" si="63"/>
        <v>9.0650000000000013</v>
      </c>
      <c r="W235" s="259">
        <f>IF(RL&gt;0,IF(RL&gt;'Look Ups'!Y$7,'Look Ups'!Y$8,('Look Ups'!Y$3*RL^3+'Look Ups'!Y$4*RL^2+'Look Ups'!Y$5*RL+'Look Ups'!Y$6)),0)</f>
        <v>0.29680559353762503</v>
      </c>
      <c r="X235" s="92">
        <f>1264-23</f>
        <v>1241</v>
      </c>
      <c r="Y235" s="263">
        <f ca="1">IF(WDATE&lt;(TODAY()-'Look Ups'!$D$4*365),-WM*'Look Ups'!$D$5/100,0)</f>
        <v>-186.15</v>
      </c>
      <c r="Z235" s="103"/>
      <c r="AA235" s="109"/>
      <c r="AB235" s="109"/>
      <c r="AC235" s="265">
        <f>WCD+NC*'Look Ups'!$AF$3</f>
        <v>0</v>
      </c>
      <c r="AD235" s="265">
        <f ca="1">IF(RL&lt;'Look Ups'!AM$3,'Look Ups'!AM$4,IF(RL&gt;'Look Ups'!AM$5,'Look Ups'!AM$6,(RL-'Look Ups'!AM$3)/('Look Ups'!AM$5-'Look Ups'!AM$3)*('Look Ups'!AM$6-'Look Ups'!AM$4)+'Look Ups'!AM$4))/100*WS</f>
        <v>225.73789999999991</v>
      </c>
      <c r="AE235" s="269">
        <f t="shared" ca="1" si="64"/>
        <v>1054.8499999999999</v>
      </c>
      <c r="AF235" s="267">
        <f t="shared" ca="1" si="65"/>
        <v>1054.8499999999999</v>
      </c>
      <c r="AG235" s="94" t="s">
        <v>145</v>
      </c>
      <c r="AH235" s="95" t="s">
        <v>146</v>
      </c>
      <c r="AI235" s="96" t="s">
        <v>147</v>
      </c>
      <c r="AJ235" s="218"/>
      <c r="AK235" s="273">
        <f>IF(C235="",0,VLOOKUP(AG235,'Look Ups'!$F$3:$G$6,2,0)*VLOOKUP(AH235,'Look Ups'!$I$3:$J$5,2,0)*VLOOKUP(AI235,'Look Ups'!$L$3:$M$7,2,0)*IF(AJ235="",1,VLOOKUP(AJ235,'Look Ups'!$O$3:$P$4,2,0)))</f>
        <v>1</v>
      </c>
      <c r="AL235" s="83">
        <v>14.62</v>
      </c>
      <c r="AM235" s="91">
        <v>14.36</v>
      </c>
      <c r="AN235" s="91">
        <v>3.83</v>
      </c>
      <c r="AO235" s="91">
        <v>1.54</v>
      </c>
      <c r="AP235" s="91">
        <v>0.28999999999999998</v>
      </c>
      <c r="AQ235" s="91">
        <v>14.25</v>
      </c>
      <c r="AR235" s="91">
        <v>0.1</v>
      </c>
      <c r="AS235" s="91">
        <v>3.95</v>
      </c>
      <c r="AT235" s="91">
        <v>0.04</v>
      </c>
      <c r="AU235" s="91">
        <v>0.59599999999999997</v>
      </c>
      <c r="AV235" s="91" t="s">
        <v>148</v>
      </c>
      <c r="AW235" s="97">
        <v>0</v>
      </c>
      <c r="AX235" s="256">
        <f t="shared" si="66"/>
        <v>14.29</v>
      </c>
      <c r="AY235" s="256">
        <f t="shared" si="67"/>
        <v>3.1848749999999999</v>
      </c>
      <c r="AZ235" s="275">
        <f>IF(C235="",0,(0.5*(_ML1*LPM)+0.5*(_ML1*HB)+0.66*(P*PR)+0.66*(_ML2*RDM)+0.66*(E*ER))*VLOOKUP(BATT,'Look Ups'!$U$3:$V$4,2,0))</f>
        <v>43.047984</v>
      </c>
      <c r="BA235" s="98"/>
      <c r="BB235" s="99"/>
      <c r="BC235" s="83">
        <v>9.9600000000000009</v>
      </c>
      <c r="BD235" s="91">
        <v>3.23</v>
      </c>
      <c r="BE235" s="91">
        <v>3.46</v>
      </c>
      <c r="BF235" s="91">
        <v>0.16</v>
      </c>
      <c r="BG235" s="91">
        <v>9.27</v>
      </c>
      <c r="BH235" s="91">
        <v>8.76</v>
      </c>
      <c r="BI235" s="91">
        <v>0.36</v>
      </c>
      <c r="BJ235" s="91">
        <v>-0.2</v>
      </c>
      <c r="BK235" s="91">
        <v>-0.05</v>
      </c>
      <c r="BL235" s="97">
        <v>0</v>
      </c>
      <c r="BM235" s="275">
        <f t="shared" si="68"/>
        <v>16.634376000000003</v>
      </c>
      <c r="BN235" s="319"/>
      <c r="BO235" s="320"/>
      <c r="BP235" s="321"/>
      <c r="BQ235" s="321"/>
      <c r="BR235" s="320"/>
      <c r="BS235" s="321"/>
      <c r="BT235" s="321"/>
      <c r="BU235" s="280">
        <f t="shared" si="69"/>
        <v>0</v>
      </c>
      <c r="BV235" s="322"/>
      <c r="BW235" s="320"/>
      <c r="BX235" s="320"/>
      <c r="BY235" s="320"/>
      <c r="BZ235" s="320"/>
      <c r="CA235" s="320"/>
      <c r="CB235" s="320"/>
      <c r="CC235" s="275">
        <f t="shared" si="70"/>
        <v>0</v>
      </c>
      <c r="CD235" s="98">
        <v>8.7200000000000006</v>
      </c>
      <c r="CE235" s="91">
        <v>15.82</v>
      </c>
      <c r="CF235" s="91">
        <v>14.37</v>
      </c>
      <c r="CG235" s="91">
        <v>6.64</v>
      </c>
      <c r="CH235" s="266">
        <f t="shared" si="71"/>
        <v>76.146788990825669</v>
      </c>
      <c r="CI235" s="320"/>
      <c r="CJ235" s="280">
        <f t="shared" si="72"/>
        <v>88.758599999999987</v>
      </c>
      <c r="CK235" s="83">
        <v>7.04</v>
      </c>
      <c r="CL235" s="91">
        <v>15.3</v>
      </c>
      <c r="CM235" s="91">
        <v>13.78</v>
      </c>
      <c r="CN235" s="91">
        <v>3.58</v>
      </c>
      <c r="CO235" s="256">
        <f t="shared" si="73"/>
        <v>50.852272727272727</v>
      </c>
      <c r="CP235" s="320"/>
      <c r="CQ235" s="256">
        <f t="shared" si="74"/>
        <v>51.7624</v>
      </c>
      <c r="CR235" s="256" t="str">
        <f>IF(CO235&lt;'Look Ups'!$AC$4,"Yes","No")</f>
        <v>Yes</v>
      </c>
      <c r="CS235" s="293">
        <f>IF(CR235="Yes",MIN(150,('Look Ups'!$AC$4-PSCR)/('Look Ups'!$AC$4-'Look Ups'!$AC$3)*100),0)</f>
        <v>22.954545454545467</v>
      </c>
      <c r="CT235" s="83"/>
      <c r="CU235" s="91"/>
      <c r="CV235" s="91"/>
      <c r="CW235" s="91"/>
      <c r="CX235" s="256" t="str">
        <f t="shared" si="75"/>
        <v/>
      </c>
      <c r="CY235" s="293">
        <f>IF(PUSCR&lt;'Look Ups'!$AC$4,MIN(150,('Look Ups'!$AC$4-PUSCR)/('Look Ups'!$AC$4-'Look Ups'!$AC$3)*100),0)</f>
        <v>0</v>
      </c>
      <c r="CZ235" s="275">
        <f>IF(PUSCR&lt;'Look Ups'!$AC$4,USCRF*(USCRL1+USCRL2)/4+(USCRMG-USCRF/2)*(USCRL1+USCRL2)/3,0)</f>
        <v>0</v>
      </c>
      <c r="DA235" s="294">
        <f t="shared" si="76"/>
        <v>1</v>
      </c>
      <c r="DB235" s="256">
        <f t="shared" si="77"/>
        <v>46.232858999999998</v>
      </c>
      <c r="DC235" s="256">
        <f t="shared" si="78"/>
        <v>1</v>
      </c>
      <c r="DD235" s="256">
        <f t="shared" si="79"/>
        <v>16.634376000000003</v>
      </c>
      <c r="DE235" s="256">
        <f>IF(AZ235&gt;0,'Look Ups'!$S$3,0)</f>
        <v>1</v>
      </c>
      <c r="DF235" s="256">
        <f t="shared" si="80"/>
        <v>0</v>
      </c>
      <c r="DG235" s="256">
        <f t="shared" si="81"/>
        <v>0</v>
      </c>
      <c r="DH235" s="256">
        <f t="shared" si="82"/>
        <v>0</v>
      </c>
      <c r="DI235" s="280">
        <f t="shared" si="83"/>
        <v>0</v>
      </c>
      <c r="DJ235" s="295" t="str">
        <f t="shared" si="84"/>
        <v>valid</v>
      </c>
      <c r="DK235" s="266" t="str">
        <f t="shared" si="85"/>
        <v>valid</v>
      </c>
      <c r="DL235" s="267" t="str">
        <f t="shared" si="86"/>
        <v>MGScrSP</v>
      </c>
      <c r="DM235" s="294">
        <f t="shared" si="87"/>
        <v>62.867235000000001</v>
      </c>
      <c r="DN235" s="256">
        <f>IF(MSASP&gt;0,'Look Ups'!$AI$4*(ZVAL*MSASP-RSAG),0)</f>
        <v>21.637267199999993</v>
      </c>
      <c r="DO235" s="256">
        <f>IF(AND(MSASC&gt;0,(MSASC&gt;=0.36*RSAM)),('Look Ups'!$AI$3*(ZVAL*MSASC-RSAG)),(0))</f>
        <v>12.294808399999997</v>
      </c>
      <c r="DP235" s="256">
        <f>IF(MSASP&gt;0,'Look Ups'!$AI$5*(ZVAL*MSASP-RSAG),0)</f>
        <v>20.194782719999999</v>
      </c>
      <c r="DQ235" s="256">
        <f>IF(MSASC&gt;0,'Look Ups'!$AI$6*(MSASC-RSAG),0)</f>
        <v>2.4589616799999998</v>
      </c>
      <c r="DR235" s="280">
        <f>'Look Ups'!$AI$7*MAX(IF(MSAUSC&gt;0,EUSC/100*(MSAUSC-RSAG),0),IF(CR235="Yes",ELSC/100*(MSASC-RSAG),0))</f>
        <v>2.0158695590909099</v>
      </c>
      <c r="DS235" s="280">
        <f t="shared" si="88"/>
        <v>16.643829239999999</v>
      </c>
      <c r="DT235" s="296">
        <f t="shared" si="89"/>
        <v>87.536848959090918</v>
      </c>
      <c r="DU235" s="14"/>
    </row>
    <row r="236" spans="1:125" ht="15.6" customHeight="1" x14ac:dyDescent="0.3">
      <c r="A236" s="4"/>
      <c r="B236" s="365"/>
      <c r="C236" s="369" t="s">
        <v>819</v>
      </c>
      <c r="D236" s="370" t="s">
        <v>217</v>
      </c>
      <c r="E236" s="371" t="s">
        <v>820</v>
      </c>
      <c r="F236" s="252">
        <f t="shared" ca="1" si="60"/>
        <v>1.2</v>
      </c>
      <c r="G236" s="252" t="str">
        <f ca="1">IF(OR(FLSCR="ERROR",FLSPI="ERROR"),"No",IF(TODAY()-'Look Ups'!$D$4*365&gt;I236,"WP Applied","Yes"))</f>
        <v>WP Applied</v>
      </c>
      <c r="H236" s="253" t="str">
        <f t="shared" si="61"/>
        <v>Main-Genoa-Screacher</v>
      </c>
      <c r="I236" s="1">
        <v>41487</v>
      </c>
      <c r="J236" s="1">
        <v>41494</v>
      </c>
      <c r="K236" s="87" t="s">
        <v>218</v>
      </c>
      <c r="L236" s="87" t="s">
        <v>159</v>
      </c>
      <c r="M236" s="207"/>
      <c r="N236" s="88" t="s">
        <v>165</v>
      </c>
      <c r="O236" s="88"/>
      <c r="P236" s="89"/>
      <c r="Q236" s="90">
        <v>8.5</v>
      </c>
      <c r="R236" s="87"/>
      <c r="S236" s="256">
        <f t="shared" si="62"/>
        <v>0.21250000000000002</v>
      </c>
      <c r="T236" s="117"/>
      <c r="U236" s="117"/>
      <c r="V236" s="258">
        <f t="shared" si="63"/>
        <v>8.5</v>
      </c>
      <c r="W236" s="259">
        <f>IF(RL&gt;0,IF(RL&gt;'Look Ups'!Y$7,'Look Ups'!Y$8,('Look Ups'!Y$3*RL^3+'Look Ups'!Y$4*RL^2+'Look Ups'!Y$5*RL+'Look Ups'!Y$6)),0)</f>
        <v>0.29536612500000003</v>
      </c>
      <c r="X236" s="92">
        <v>660</v>
      </c>
      <c r="Y236" s="263">
        <f ca="1">IF(WDATE&lt;(TODAY()-'Look Ups'!$D$4*365),-WM*'Look Ups'!$D$5/100,0)</f>
        <v>-99</v>
      </c>
      <c r="Z236" s="103"/>
      <c r="AA236" s="109"/>
      <c r="AB236" s="109"/>
      <c r="AC236" s="265">
        <f>WCD+NC*'Look Ups'!$AF$3</f>
        <v>0</v>
      </c>
      <c r="AD236" s="265">
        <f ca="1">IF(RL&lt;'Look Ups'!AM$3,'Look Ups'!AM$4,IF(RL&gt;'Look Ups'!AM$5,'Look Ups'!AM$6,(RL-'Look Ups'!AM$3)/('Look Ups'!AM$5-'Look Ups'!AM$3)*('Look Ups'!AM$6-'Look Ups'!AM$4)+'Look Ups'!AM$4))/100*WS</f>
        <v>131.57999999999998</v>
      </c>
      <c r="AE236" s="269">
        <f t="shared" ca="1" si="64"/>
        <v>561</v>
      </c>
      <c r="AF236" s="267">
        <f t="shared" ca="1" si="65"/>
        <v>561</v>
      </c>
      <c r="AG236" s="94" t="s">
        <v>145</v>
      </c>
      <c r="AH236" s="95" t="s">
        <v>146</v>
      </c>
      <c r="AI236" s="96" t="s">
        <v>147</v>
      </c>
      <c r="AJ236" s="218"/>
      <c r="AK236" s="273">
        <f>IF(C236="",0,VLOOKUP(AG236,'Look Ups'!$F$3:$G$6,2,0)*VLOOKUP(AH236,'Look Ups'!$I$3:$J$5,2,0)*VLOOKUP(AI236,'Look Ups'!$L$3:$M$7,2,0)*IF(AJ236="",1,VLOOKUP(AJ236,'Look Ups'!$O$3:$P$4,2,0)))</f>
        <v>1</v>
      </c>
      <c r="AL236" s="83">
        <v>12.62</v>
      </c>
      <c r="AM236" s="91">
        <v>12.21</v>
      </c>
      <c r="AN236" s="91">
        <v>3.51</v>
      </c>
      <c r="AO236" s="91">
        <v>1.41</v>
      </c>
      <c r="AP236" s="91">
        <v>0.21</v>
      </c>
      <c r="AQ236" s="91">
        <v>12.5</v>
      </c>
      <c r="AR236" s="91">
        <v>0.13</v>
      </c>
      <c r="AS236" s="91">
        <v>3.61</v>
      </c>
      <c r="AT236" s="91">
        <v>0.08</v>
      </c>
      <c r="AU236" s="91">
        <v>0.53</v>
      </c>
      <c r="AV236" s="91" t="s">
        <v>148</v>
      </c>
      <c r="AW236" s="97"/>
      <c r="AX236" s="256">
        <f t="shared" si="66"/>
        <v>12.58</v>
      </c>
      <c r="AY236" s="256">
        <f t="shared" si="67"/>
        <v>2.484375</v>
      </c>
      <c r="AZ236" s="275">
        <f>IF(C236="",0,(0.5*(_ML1*LPM)+0.5*(_ML1*HB)+0.66*(P*PR)+0.66*(_ML2*RDM)+0.66*(E*ER))*VLOOKUP(BATT,'Look Ups'!$U$3:$V$4,2,0))</f>
        <v>34.000613999999992</v>
      </c>
      <c r="BA236" s="98"/>
      <c r="BB236" s="99"/>
      <c r="BC236" s="83">
        <v>10.86</v>
      </c>
      <c r="BD236" s="91">
        <v>2.5</v>
      </c>
      <c r="BE236" s="91">
        <v>2.62</v>
      </c>
      <c r="BF236" s="91">
        <v>0.1</v>
      </c>
      <c r="BG236" s="91">
        <v>10.33</v>
      </c>
      <c r="BH236" s="91"/>
      <c r="BI236" s="91"/>
      <c r="BJ236" s="91">
        <v>0.05</v>
      </c>
      <c r="BK236" s="91">
        <v>0.03</v>
      </c>
      <c r="BL236" s="97"/>
      <c r="BM236" s="275">
        <f t="shared" si="68"/>
        <v>14.303837999999999</v>
      </c>
      <c r="BN236" s="319"/>
      <c r="BO236" s="320"/>
      <c r="BP236" s="321"/>
      <c r="BQ236" s="321"/>
      <c r="BR236" s="320"/>
      <c r="BS236" s="321"/>
      <c r="BT236" s="321"/>
      <c r="BU236" s="280">
        <f t="shared" si="69"/>
        <v>0</v>
      </c>
      <c r="BV236" s="322"/>
      <c r="BW236" s="320"/>
      <c r="BX236" s="320"/>
      <c r="BY236" s="320"/>
      <c r="BZ236" s="320"/>
      <c r="CA236" s="320"/>
      <c r="CB236" s="320"/>
      <c r="CC236" s="275">
        <f t="shared" si="70"/>
        <v>0</v>
      </c>
      <c r="CD236" s="98"/>
      <c r="CE236" s="91"/>
      <c r="CF236" s="91"/>
      <c r="CG236" s="91"/>
      <c r="CH236" s="266" t="str">
        <f t="shared" si="71"/>
        <v/>
      </c>
      <c r="CI236" s="320"/>
      <c r="CJ236" s="280">
        <f t="shared" si="72"/>
        <v>0</v>
      </c>
      <c r="CK236" s="83">
        <v>8.2100000000000009</v>
      </c>
      <c r="CL236" s="91">
        <v>12.61</v>
      </c>
      <c r="CM236" s="91">
        <v>12.22</v>
      </c>
      <c r="CN236" s="91">
        <v>5.16</v>
      </c>
      <c r="CO236" s="256">
        <f t="shared" si="73"/>
        <v>62.850182704019488</v>
      </c>
      <c r="CP236" s="320"/>
      <c r="CQ236" s="256">
        <f t="shared" si="74"/>
        <v>59.695458333333328</v>
      </c>
      <c r="CR236" s="256" t="str">
        <f>IF(CO236&lt;'Look Ups'!$AC$4,"Yes","No")</f>
        <v>No</v>
      </c>
      <c r="CS236" s="293">
        <f>IF(CR236="Yes",MIN(150,('Look Ups'!$AC$4-PSCR)/('Look Ups'!$AC$4-'Look Ups'!$AC$3)*100),0)</f>
        <v>0</v>
      </c>
      <c r="CT236" s="83"/>
      <c r="CU236" s="91"/>
      <c r="CV236" s="91"/>
      <c r="CW236" s="91"/>
      <c r="CX236" s="256" t="str">
        <f t="shared" si="75"/>
        <v/>
      </c>
      <c r="CY236" s="293">
        <f>IF(PUSCR&lt;'Look Ups'!$AC$4,MIN(150,('Look Ups'!$AC$4-PUSCR)/('Look Ups'!$AC$4-'Look Ups'!$AC$3)*100),0)</f>
        <v>0</v>
      </c>
      <c r="CZ236" s="275">
        <f>IF(PUSCR&lt;'Look Ups'!$AC$4,USCRF*(USCRL1+USCRL2)/4+(USCRMG-USCRF/2)*(USCRL1+USCRL2)/3,0)</f>
        <v>0</v>
      </c>
      <c r="DA236" s="294">
        <f t="shared" si="76"/>
        <v>1</v>
      </c>
      <c r="DB236" s="256">
        <f t="shared" si="77"/>
        <v>36.484988999999992</v>
      </c>
      <c r="DC236" s="256">
        <f t="shared" si="78"/>
        <v>1</v>
      </c>
      <c r="DD236" s="256">
        <f t="shared" si="79"/>
        <v>14.303837999999999</v>
      </c>
      <c r="DE236" s="256">
        <f>IF(AZ236&gt;0,'Look Ups'!$S$3,0)</f>
        <v>1</v>
      </c>
      <c r="DF236" s="256">
        <f t="shared" si="80"/>
        <v>0</v>
      </c>
      <c r="DG236" s="256">
        <f t="shared" si="81"/>
        <v>0</v>
      </c>
      <c r="DH236" s="256">
        <f t="shared" si="82"/>
        <v>0</v>
      </c>
      <c r="DI236" s="280">
        <f t="shared" si="83"/>
        <v>0</v>
      </c>
      <c r="DJ236" s="295" t="str">
        <f t="shared" si="84"/>
        <v>valid</v>
      </c>
      <c r="DK236" s="266" t="str">
        <f t="shared" si="85"/>
        <v>-</v>
      </c>
      <c r="DL236" s="267" t="str">
        <f t="shared" si="86"/>
        <v>MGScr</v>
      </c>
      <c r="DM236" s="294">
        <f t="shared" si="87"/>
        <v>50.788826999999991</v>
      </c>
      <c r="DN236" s="256">
        <f>IF(MSASP&gt;0,'Look Ups'!$AI$4*(ZVAL*MSASP-RSAG),0)</f>
        <v>0</v>
      </c>
      <c r="DO236" s="256">
        <f>IF(AND(MSASC&gt;0,(MSASC&gt;=0.36*RSAM)),('Look Ups'!$AI$3*(ZVAL*MSASC-RSAG)),(0))</f>
        <v>15.887067116666664</v>
      </c>
      <c r="DP236" s="256">
        <f>IF(MSASP&gt;0,'Look Ups'!$AI$5*(ZVAL*MSASP-RSAG),0)</f>
        <v>0</v>
      </c>
      <c r="DQ236" s="256">
        <f>IF(MSASC&gt;0,'Look Ups'!$AI$6*(MSASC-RSAG),0)</f>
        <v>3.1774134233333333</v>
      </c>
      <c r="DR236" s="280">
        <f>'Look Ups'!$AI$7*MAX(IF(MSAUSC&gt;0,EUSC/100*(MSAUSC-RSAG),0),IF(CR236="Yes",ELSC/100*(MSASC-RSAG),0))</f>
        <v>0</v>
      </c>
      <c r="DS236" s="280">
        <f t="shared" si="88"/>
        <v>13.134596039999996</v>
      </c>
      <c r="DT236" s="296">
        <f t="shared" si="89"/>
        <v>66.675894116666655</v>
      </c>
      <c r="DU236" s="14"/>
    </row>
    <row r="237" spans="1:125" ht="15.6" customHeight="1" x14ac:dyDescent="0.3">
      <c r="A237" s="4"/>
      <c r="B237" s="365"/>
      <c r="C237" s="369" t="s">
        <v>821</v>
      </c>
      <c r="D237" s="370"/>
      <c r="E237" s="371" t="s">
        <v>822</v>
      </c>
      <c r="F237" s="252">
        <f t="shared" ca="1" si="60"/>
        <v>0.90600000000000003</v>
      </c>
      <c r="G237" s="252" t="str">
        <f ca="1">IF(OR(FLSCR="ERROR",FLSPI="ERROR"),"No",IF(TODAY()-'Look Ups'!$D$4*365&gt;I237,"WP Applied","Yes"))</f>
        <v>WP Applied</v>
      </c>
      <c r="H237" s="253" t="str">
        <f t="shared" si="61"/>
        <v>Main-Genoa-Screacher (Upwind)-Spinnaker</v>
      </c>
      <c r="I237" s="1">
        <v>37988</v>
      </c>
      <c r="J237" s="1"/>
      <c r="K237" s="87"/>
      <c r="L237" s="87" t="s">
        <v>823</v>
      </c>
      <c r="M237" s="207"/>
      <c r="N237" s="88" t="s">
        <v>143</v>
      </c>
      <c r="O237" s="88"/>
      <c r="P237" s="89"/>
      <c r="Q237" s="90">
        <v>9.5</v>
      </c>
      <c r="R237" s="87"/>
      <c r="S237" s="256">
        <f t="shared" si="62"/>
        <v>0.23750000000000002</v>
      </c>
      <c r="T237" s="117">
        <v>0.09</v>
      </c>
      <c r="U237" s="117">
        <v>0</v>
      </c>
      <c r="V237" s="258">
        <f t="shared" si="63"/>
        <v>9.41</v>
      </c>
      <c r="W237" s="259">
        <f>IF(RL&gt;0,IF(RL&gt;'Look Ups'!Y$7,'Look Ups'!Y$8,('Look Ups'!Y$3*RL^3+'Look Ups'!Y$4*RL^2+'Look Ups'!Y$5*RL+'Look Ups'!Y$6)),0)</f>
        <v>0.29752450149300003</v>
      </c>
      <c r="X237" s="92">
        <v>2290</v>
      </c>
      <c r="Y237" s="263">
        <f ca="1">IF(WDATE&lt;(TODAY()-'Look Ups'!$D$4*365),-WM*'Look Ups'!$D$5/100,0)</f>
        <v>-343.5</v>
      </c>
      <c r="Z237" s="103"/>
      <c r="AA237" s="109"/>
      <c r="AB237" s="109"/>
      <c r="AC237" s="265">
        <f>WCD+NC*'Look Ups'!$AF$3</f>
        <v>0</v>
      </c>
      <c r="AD237" s="265">
        <f ca="1">IF(RL&lt;'Look Ups'!AM$3,'Look Ups'!AM$4,IF(RL&gt;'Look Ups'!AM$5,'Look Ups'!AM$6,(RL-'Look Ups'!AM$3)/('Look Ups'!AM$5-'Look Ups'!AM$3)*('Look Ups'!AM$6-'Look Ups'!AM$4)+'Look Ups'!AM$4))/100*WS</f>
        <v>392.13127272727269</v>
      </c>
      <c r="AE237" s="269">
        <f t="shared" ca="1" si="64"/>
        <v>1946.5</v>
      </c>
      <c r="AF237" s="267">
        <f t="shared" ca="1" si="65"/>
        <v>1946.5</v>
      </c>
      <c r="AG237" s="94" t="s">
        <v>145</v>
      </c>
      <c r="AH237" s="95" t="s">
        <v>146</v>
      </c>
      <c r="AI237" s="96" t="s">
        <v>147</v>
      </c>
      <c r="AJ237" s="218"/>
      <c r="AK237" s="273">
        <f>IF(C237="",0,VLOOKUP(AG237,'Look Ups'!$F$3:$G$6,2,0)*VLOOKUP(AH237,'Look Ups'!$I$3:$J$5,2,0)*VLOOKUP(AI237,'Look Ups'!$L$3:$M$7,2,0)*IF(AJ237="",1,VLOOKUP(AJ237,'Look Ups'!$O$3:$P$4,2,0)))</f>
        <v>1</v>
      </c>
      <c r="AL237" s="83">
        <v>11.71</v>
      </c>
      <c r="AM237" s="91">
        <v>11.52</v>
      </c>
      <c r="AN237" s="91">
        <v>4.09</v>
      </c>
      <c r="AO237" s="91">
        <v>0.95</v>
      </c>
      <c r="AP237" s="91">
        <v>0.95</v>
      </c>
      <c r="AQ237" s="91">
        <v>11.08</v>
      </c>
      <c r="AR237" s="91">
        <v>0.09</v>
      </c>
      <c r="AS237" s="91">
        <v>4.32</v>
      </c>
      <c r="AT237" s="91">
        <v>0</v>
      </c>
      <c r="AU237" s="91"/>
      <c r="AV237" s="91" t="s">
        <v>148</v>
      </c>
      <c r="AW237" s="97"/>
      <c r="AX237" s="256">
        <f t="shared" si="66"/>
        <v>11.08</v>
      </c>
      <c r="AY237" s="256">
        <f t="shared" si="67"/>
        <v>0</v>
      </c>
      <c r="AZ237" s="275">
        <f>IF(C237="",0,(0.5*(_ML1*LPM)+0.5*(_ML1*HB)+0.66*(P*PR)+0.66*(_ML2*RDM)+0.66*(E*ER))*VLOOKUP(BATT,'Look Ups'!$U$3:$V$4,2,0))</f>
        <v>37.390391999999999</v>
      </c>
      <c r="BA237" s="98"/>
      <c r="BB237" s="99"/>
      <c r="BC237" s="83">
        <v>10.37</v>
      </c>
      <c r="BD237" s="91">
        <v>3.56</v>
      </c>
      <c r="BE237" s="91">
        <v>3.78</v>
      </c>
      <c r="BF237" s="91">
        <v>0.1</v>
      </c>
      <c r="BG237" s="91">
        <v>9.64</v>
      </c>
      <c r="BH237" s="91"/>
      <c r="BI237" s="91"/>
      <c r="BJ237" s="91">
        <v>-0.09</v>
      </c>
      <c r="BK237" s="91">
        <v>-7.0000000000000007E-2</v>
      </c>
      <c r="BL237" s="97" t="s">
        <v>446</v>
      </c>
      <c r="BM237" s="275">
        <f t="shared" si="68"/>
        <v>17.656369999999999</v>
      </c>
      <c r="BN237" s="319"/>
      <c r="BO237" s="320"/>
      <c r="BP237" s="321"/>
      <c r="BQ237" s="321"/>
      <c r="BR237" s="320"/>
      <c r="BS237" s="321"/>
      <c r="BT237" s="321"/>
      <c r="BU237" s="280">
        <f t="shared" si="69"/>
        <v>0</v>
      </c>
      <c r="BV237" s="322"/>
      <c r="BW237" s="320"/>
      <c r="BX237" s="320"/>
      <c r="BY237" s="320"/>
      <c r="BZ237" s="320"/>
      <c r="CA237" s="320"/>
      <c r="CB237" s="320"/>
      <c r="CC237" s="275">
        <f t="shared" si="70"/>
        <v>0</v>
      </c>
      <c r="CD237" s="98">
        <v>8.3800000000000008</v>
      </c>
      <c r="CE237" s="91">
        <v>14.17</v>
      </c>
      <c r="CF237" s="91">
        <v>11.88</v>
      </c>
      <c r="CG237" s="91">
        <v>7.65</v>
      </c>
      <c r="CH237" s="266">
        <f t="shared" si="71"/>
        <v>91.288782816229102</v>
      </c>
      <c r="CI237" s="320"/>
      <c r="CJ237" s="280">
        <f t="shared" si="72"/>
        <v>84.619083333333336</v>
      </c>
      <c r="CK237" s="83">
        <v>10.5</v>
      </c>
      <c r="CL237" s="91">
        <v>16.100000000000001</v>
      </c>
      <c r="CM237" s="91">
        <v>14.8</v>
      </c>
      <c r="CN237" s="91">
        <v>5.3</v>
      </c>
      <c r="CO237" s="256">
        <f t="shared" si="73"/>
        <v>50.476190476190474</v>
      </c>
      <c r="CP237" s="320"/>
      <c r="CQ237" s="256">
        <f t="shared" si="74"/>
        <v>81.627500000000012</v>
      </c>
      <c r="CR237" s="256" t="str">
        <f>IF(CO237&lt;'Look Ups'!$AC$4,"Yes","No")</f>
        <v>Yes</v>
      </c>
      <c r="CS237" s="293">
        <f>IF(CR237="Yes",MIN(150,('Look Ups'!$AC$4-PSCR)/('Look Ups'!$AC$4-'Look Ups'!$AC$3)*100),0)</f>
        <v>30.476190476190514</v>
      </c>
      <c r="CT237" s="83"/>
      <c r="CU237" s="91"/>
      <c r="CV237" s="91"/>
      <c r="CW237" s="91"/>
      <c r="CX237" s="256" t="str">
        <f t="shared" si="75"/>
        <v/>
      </c>
      <c r="CY237" s="293">
        <f>IF(PUSCR&lt;'Look Ups'!$AC$4,MIN(150,('Look Ups'!$AC$4-PUSCR)/('Look Ups'!$AC$4-'Look Ups'!$AC$3)*100),0)</f>
        <v>0</v>
      </c>
      <c r="CZ237" s="275">
        <f>IF(PUSCR&lt;'Look Ups'!$AC$4,USCRF*(USCRL1+USCRL2)/4+(USCRMG-USCRF/2)*(USCRL1+USCRL2)/3,0)</f>
        <v>0</v>
      </c>
      <c r="DA237" s="294">
        <f t="shared" si="76"/>
        <v>1</v>
      </c>
      <c r="DB237" s="256">
        <f t="shared" si="77"/>
        <v>37.390391999999999</v>
      </c>
      <c r="DC237" s="256">
        <f t="shared" si="78"/>
        <v>1</v>
      </c>
      <c r="DD237" s="256">
        <f t="shared" si="79"/>
        <v>17.656369999999999</v>
      </c>
      <c r="DE237" s="256">
        <f>IF(AZ237&gt;0,'Look Ups'!$S$3,0)</f>
        <v>1</v>
      </c>
      <c r="DF237" s="256">
        <f t="shared" si="80"/>
        <v>0</v>
      </c>
      <c r="DG237" s="256">
        <f t="shared" si="81"/>
        <v>0</v>
      </c>
      <c r="DH237" s="256">
        <f t="shared" si="82"/>
        <v>0</v>
      </c>
      <c r="DI237" s="280">
        <f t="shared" si="83"/>
        <v>0</v>
      </c>
      <c r="DJ237" s="295" t="str">
        <f t="shared" si="84"/>
        <v>valid</v>
      </c>
      <c r="DK237" s="266" t="str">
        <f t="shared" si="85"/>
        <v>valid</v>
      </c>
      <c r="DL237" s="267" t="str">
        <f t="shared" si="86"/>
        <v>MGScrSP</v>
      </c>
      <c r="DM237" s="294">
        <f t="shared" si="87"/>
        <v>55.046762000000001</v>
      </c>
      <c r="DN237" s="256">
        <f>IF(MSASP&gt;0,'Look Ups'!$AI$4*(ZVAL*MSASP-RSAG),0)</f>
        <v>20.088814000000003</v>
      </c>
      <c r="DO237" s="256">
        <f>IF(AND(MSASC&gt;0,(MSASC&gt;=0.36*RSAM)),('Look Ups'!$AI$3*(ZVAL*MSASC-RSAG)),(0))</f>
        <v>22.389895500000005</v>
      </c>
      <c r="DP237" s="256">
        <f>IF(MSASP&gt;0,'Look Ups'!$AI$5*(ZVAL*MSASP-RSAG),0)</f>
        <v>18.749559733333339</v>
      </c>
      <c r="DQ237" s="256">
        <f>IF(MSASC&gt;0,'Look Ups'!$AI$6*(MSASC-RSAG),0)</f>
        <v>4.4779791000000015</v>
      </c>
      <c r="DR237" s="280">
        <f>'Look Ups'!$AI$7*MAX(IF(MSAUSC&gt;0,EUSC/100*(MSAUSC-RSAG),0),IF(CR237="Yes",ELSC/100*(MSASC-RSAG),0))</f>
        <v>4.8739908571428643</v>
      </c>
      <c r="DS237" s="280">
        <f t="shared" si="88"/>
        <v>13.460541119999998</v>
      </c>
      <c r="DT237" s="296">
        <f t="shared" si="89"/>
        <v>83.148291690476213</v>
      </c>
      <c r="DU237" s="14"/>
    </row>
    <row r="238" spans="1:125" ht="15.6" customHeight="1" x14ac:dyDescent="0.3">
      <c r="A238" s="4"/>
      <c r="B238" s="365"/>
      <c r="C238" s="369" t="s">
        <v>824</v>
      </c>
      <c r="D238" s="370" t="s">
        <v>194</v>
      </c>
      <c r="E238" s="371" t="s">
        <v>444</v>
      </c>
      <c r="F238" s="252">
        <f t="shared" ca="1" si="60"/>
        <v>0.91200000000000003</v>
      </c>
      <c r="G238" s="252" t="str">
        <f ca="1">IF(OR(FLSCR="ERROR",FLSPI="ERROR"),"No",IF(TODAY()-'Look Ups'!$D$4*365&gt;I238,"WP Applied","Yes"))</f>
        <v>WP Applied</v>
      </c>
      <c r="H238" s="253" t="str">
        <f t="shared" si="61"/>
        <v>Main-Genoa-Spinnaker</v>
      </c>
      <c r="I238" s="1">
        <v>40097</v>
      </c>
      <c r="J238" s="1">
        <v>40102</v>
      </c>
      <c r="K238" s="87" t="s">
        <v>640</v>
      </c>
      <c r="L238" s="87" t="s">
        <v>241</v>
      </c>
      <c r="M238" s="207"/>
      <c r="N238" s="88" t="s">
        <v>271</v>
      </c>
      <c r="O238" s="88"/>
      <c r="P238" s="89"/>
      <c r="Q238" s="90">
        <v>7.32</v>
      </c>
      <c r="R238" s="87"/>
      <c r="S238" s="256">
        <f t="shared" si="62"/>
        <v>0.18300000000000002</v>
      </c>
      <c r="T238" s="117">
        <v>0.14000000000000001</v>
      </c>
      <c r="U238" s="117"/>
      <c r="V238" s="258">
        <f t="shared" si="63"/>
        <v>7.1800000000000006</v>
      </c>
      <c r="W238" s="259">
        <f>IF(RL&gt;0,IF(RL&gt;'Look Ups'!Y$7,'Look Ups'!Y$8,('Look Ups'!Y$3*RL^3+'Look Ups'!Y$4*RL^2+'Look Ups'!Y$5*RL+'Look Ups'!Y$6)),0)</f>
        <v>0.29055146565600004</v>
      </c>
      <c r="X238" s="92">
        <f>1415-480</f>
        <v>935</v>
      </c>
      <c r="Y238" s="263">
        <f ca="1">IF(WDATE&lt;(TODAY()-'Look Ups'!$D$4*365),-WM*'Look Ups'!$D$5/100,0)</f>
        <v>-140.25</v>
      </c>
      <c r="Z238" s="103"/>
      <c r="AA238" s="109"/>
      <c r="AB238" s="109"/>
      <c r="AC238" s="265">
        <f>WCD+NC*'Look Ups'!$AF$3</f>
        <v>0</v>
      </c>
      <c r="AD238" s="265">
        <f ca="1">IF(RL&lt;'Look Ups'!AM$3,'Look Ups'!AM$4,IF(RL&gt;'Look Ups'!AM$5,'Look Ups'!AM$6,(RL-'Look Ups'!AM$3)/('Look Ups'!AM$5-'Look Ups'!AM$3)*('Look Ups'!AM$6-'Look Ups'!AM$4)+'Look Ups'!AM$4))/100*WS</f>
        <v>224.553</v>
      </c>
      <c r="AE238" s="269">
        <f t="shared" ca="1" si="64"/>
        <v>794.75</v>
      </c>
      <c r="AF238" s="267">
        <f t="shared" ca="1" si="65"/>
        <v>794.75</v>
      </c>
      <c r="AG238" s="94" t="s">
        <v>145</v>
      </c>
      <c r="AH238" s="95" t="s">
        <v>146</v>
      </c>
      <c r="AI238" s="96" t="s">
        <v>147</v>
      </c>
      <c r="AJ238" s="218"/>
      <c r="AK238" s="273">
        <f>IF(C238="",0,VLOOKUP(AG238,'Look Ups'!$F$3:$G$6,2,0)*VLOOKUP(AH238,'Look Ups'!$I$3:$J$5,2,0)*VLOOKUP(AI238,'Look Ups'!$L$3:$M$7,2,0)*IF(AJ238="",1,VLOOKUP(AJ238,'Look Ups'!$O$3:$P$4,2,0)))</f>
        <v>1</v>
      </c>
      <c r="AL238" s="83">
        <v>10.14</v>
      </c>
      <c r="AM238" s="91">
        <v>9.9</v>
      </c>
      <c r="AN238" s="91">
        <v>3.12</v>
      </c>
      <c r="AO238" s="91">
        <v>0.7</v>
      </c>
      <c r="AP238" s="91">
        <v>0.69</v>
      </c>
      <c r="AQ238" s="91">
        <v>9.7799999999999994</v>
      </c>
      <c r="AR238" s="91">
        <v>0.1</v>
      </c>
      <c r="AS238" s="91">
        <v>3.26</v>
      </c>
      <c r="AT238" s="91">
        <v>0</v>
      </c>
      <c r="AU238" s="91">
        <v>0.49</v>
      </c>
      <c r="AV238" s="91" t="s">
        <v>148</v>
      </c>
      <c r="AW238" s="97"/>
      <c r="AX238" s="256">
        <f t="shared" si="66"/>
        <v>9.7799999999999994</v>
      </c>
      <c r="AY238" s="256">
        <f t="shared" si="67"/>
        <v>1.7970749999999998</v>
      </c>
      <c r="AZ238" s="275">
        <f>IF(C238="",0,(0.5*(_ML1*LPM)+0.5*(_ML1*HB)+0.66*(P*PR)+0.66*(_ML2*RDM)+0.66*(E*ER))*VLOOKUP(BATT,'Look Ups'!$U$3:$V$4,2,0))</f>
        <v>24.521340000000002</v>
      </c>
      <c r="BA238" s="98"/>
      <c r="BB238" s="99"/>
      <c r="BC238" s="83">
        <v>8.8699999999999992</v>
      </c>
      <c r="BD238" s="91">
        <v>2.5499999999999998</v>
      </c>
      <c r="BE238" s="91">
        <v>2.89</v>
      </c>
      <c r="BF238" s="91">
        <v>0.13</v>
      </c>
      <c r="BG238" s="91">
        <v>7.97</v>
      </c>
      <c r="BH238" s="91"/>
      <c r="BI238" s="91"/>
      <c r="BJ238" s="91">
        <v>0.30000000000000004</v>
      </c>
      <c r="BK238" s="91">
        <v>0</v>
      </c>
      <c r="BL238" s="97"/>
      <c r="BM238" s="275">
        <f t="shared" si="68"/>
        <v>13.135271999999999</v>
      </c>
      <c r="BN238" s="319"/>
      <c r="BO238" s="320"/>
      <c r="BP238" s="321"/>
      <c r="BQ238" s="321"/>
      <c r="BR238" s="320"/>
      <c r="BS238" s="321"/>
      <c r="BT238" s="321"/>
      <c r="BU238" s="280">
        <f t="shared" si="69"/>
        <v>0</v>
      </c>
      <c r="BV238" s="322"/>
      <c r="BW238" s="320"/>
      <c r="BX238" s="320"/>
      <c r="BY238" s="320"/>
      <c r="BZ238" s="320"/>
      <c r="CA238" s="320"/>
      <c r="CB238" s="320"/>
      <c r="CC238" s="275">
        <f t="shared" si="70"/>
        <v>0</v>
      </c>
      <c r="CD238" s="98">
        <v>6.94</v>
      </c>
      <c r="CE238" s="91">
        <v>11.6</v>
      </c>
      <c r="CF238" s="91">
        <v>10.119999999999999</v>
      </c>
      <c r="CG238" s="91">
        <v>5.7</v>
      </c>
      <c r="CH238" s="266">
        <f t="shared" si="71"/>
        <v>82.132564841498549</v>
      </c>
      <c r="CI238" s="320"/>
      <c r="CJ238" s="280">
        <f t="shared" si="72"/>
        <v>53.829399999999993</v>
      </c>
      <c r="CK238" s="83"/>
      <c r="CL238" s="91"/>
      <c r="CM238" s="91"/>
      <c r="CN238" s="91"/>
      <c r="CO238" s="256" t="str">
        <f t="shared" si="73"/>
        <v/>
      </c>
      <c r="CP238" s="320"/>
      <c r="CQ238" s="256">
        <f t="shared" si="74"/>
        <v>0</v>
      </c>
      <c r="CR238" s="256" t="str">
        <f>IF(CO238&lt;'Look Ups'!$AC$4,"Yes","No")</f>
        <v>No</v>
      </c>
      <c r="CS238" s="293">
        <f>IF(CR238="Yes",MIN(150,('Look Ups'!$AC$4-PSCR)/('Look Ups'!$AC$4-'Look Ups'!$AC$3)*100),0)</f>
        <v>0</v>
      </c>
      <c r="CT238" s="83"/>
      <c r="CU238" s="91"/>
      <c r="CV238" s="91"/>
      <c r="CW238" s="91"/>
      <c r="CX238" s="256" t="str">
        <f t="shared" si="75"/>
        <v/>
      </c>
      <c r="CY238" s="293">
        <f>IF(PUSCR&lt;'Look Ups'!$AC$4,MIN(150,('Look Ups'!$AC$4-PUSCR)/('Look Ups'!$AC$4-'Look Ups'!$AC$3)*100),0)</f>
        <v>0</v>
      </c>
      <c r="CZ238" s="275">
        <f>IF(PUSCR&lt;'Look Ups'!$AC$4,USCRF*(USCRL1+USCRL2)/4+(USCRMG-USCRF/2)*(USCRL1+USCRL2)/3,0)</f>
        <v>0</v>
      </c>
      <c r="DA238" s="294">
        <f t="shared" si="76"/>
        <v>1</v>
      </c>
      <c r="DB238" s="256">
        <f t="shared" si="77"/>
        <v>26.318415000000002</v>
      </c>
      <c r="DC238" s="256">
        <f t="shared" si="78"/>
        <v>1</v>
      </c>
      <c r="DD238" s="256">
        <f t="shared" si="79"/>
        <v>13.135271999999999</v>
      </c>
      <c r="DE238" s="256">
        <f>IF(AZ238&gt;0,'Look Ups'!$S$3,0)</f>
        <v>1</v>
      </c>
      <c r="DF238" s="256">
        <f t="shared" si="80"/>
        <v>0</v>
      </c>
      <c r="DG238" s="256">
        <f t="shared" si="81"/>
        <v>0</v>
      </c>
      <c r="DH238" s="256">
        <f t="shared" si="82"/>
        <v>0</v>
      </c>
      <c r="DI238" s="280">
        <f t="shared" si="83"/>
        <v>0</v>
      </c>
      <c r="DJ238" s="295" t="str">
        <f t="shared" si="84"/>
        <v>-</v>
      </c>
      <c r="DK238" s="266" t="str">
        <f t="shared" si="85"/>
        <v>valid</v>
      </c>
      <c r="DL238" s="267" t="str">
        <f t="shared" si="86"/>
        <v>MGSP</v>
      </c>
      <c r="DM238" s="294">
        <f t="shared" si="87"/>
        <v>39.453687000000002</v>
      </c>
      <c r="DN238" s="256">
        <f>IF(MSASP&gt;0,'Look Ups'!$AI$4*(ZVAL*MSASP-RSAG),0)</f>
        <v>12.208238399999997</v>
      </c>
      <c r="DO238" s="256">
        <f>IF(AND(MSASC&gt;0,(MSASC&gt;=0.36*RSAM)),('Look Ups'!$AI$3*(ZVAL*MSASC-RSAG)),(0))</f>
        <v>0</v>
      </c>
      <c r="DP238" s="256">
        <f>IF(MSASP&gt;0,'Look Ups'!$AI$5*(ZVAL*MSASP-RSAG),0)</f>
        <v>11.394355839999999</v>
      </c>
      <c r="DQ238" s="256">
        <f>IF(MSASC&gt;0,'Look Ups'!$AI$6*(MSASC-RSAG),0)</f>
        <v>0</v>
      </c>
      <c r="DR238" s="280">
        <f>'Look Ups'!$AI$7*MAX(IF(MSAUSC&gt;0,EUSC/100*(MSAUSC-RSAG),0),IF(CR238="Yes",ELSC/100*(MSASC-RSAG),0))</f>
        <v>0</v>
      </c>
      <c r="DS238" s="280">
        <f t="shared" si="88"/>
        <v>9.4746293999999995</v>
      </c>
      <c r="DT238" s="296">
        <f t="shared" si="89"/>
        <v>51.661925400000001</v>
      </c>
      <c r="DU238" s="14"/>
    </row>
    <row r="239" spans="1:125" ht="15.6" customHeight="1" x14ac:dyDescent="0.3">
      <c r="A239" s="4"/>
      <c r="B239" s="365"/>
      <c r="C239" s="369" t="s">
        <v>825</v>
      </c>
      <c r="D239" s="370" t="s">
        <v>194</v>
      </c>
      <c r="E239" s="371" t="s">
        <v>826</v>
      </c>
      <c r="F239" s="252">
        <f t="shared" ca="1" si="60"/>
        <v>0.89700000000000002</v>
      </c>
      <c r="G239" s="252" t="str">
        <f ca="1">IF(OR(FLSCR="ERROR",FLSPI="ERROR"),"No",IF(TODAY()-'Look Ups'!$D$4*365&gt;I239,"WP Applied","Yes"))</f>
        <v>WP Applied</v>
      </c>
      <c r="H239" s="253" t="str">
        <f t="shared" si="61"/>
        <v>Main-Genoa-Screacher (Upwind)-Spinnaker</v>
      </c>
      <c r="I239" s="1">
        <v>41130</v>
      </c>
      <c r="J239" s="1">
        <v>41130</v>
      </c>
      <c r="K239" s="87" t="s">
        <v>236</v>
      </c>
      <c r="L239" s="87" t="s">
        <v>159</v>
      </c>
      <c r="M239" s="207"/>
      <c r="N239" s="88" t="s">
        <v>143</v>
      </c>
      <c r="O239" s="88" t="s">
        <v>154</v>
      </c>
      <c r="P239" s="89"/>
      <c r="Q239" s="90">
        <v>7.3</v>
      </c>
      <c r="R239" s="87"/>
      <c r="S239" s="256">
        <f t="shared" si="62"/>
        <v>0.1825</v>
      </c>
      <c r="T239" s="117">
        <v>0.01</v>
      </c>
      <c r="U239" s="117">
        <v>0</v>
      </c>
      <c r="V239" s="258">
        <f t="shared" si="63"/>
        <v>7.29</v>
      </c>
      <c r="W239" s="259">
        <f>IF(RL&gt;0,IF(RL&gt;'Look Ups'!Y$7,'Look Ups'!Y$8,('Look Ups'!Y$3*RL^3+'Look Ups'!Y$4*RL^2+'Look Ups'!Y$5*RL+'Look Ups'!Y$6)),0)</f>
        <v>0.29103813613700003</v>
      </c>
      <c r="X239" s="92">
        <v>1018</v>
      </c>
      <c r="Y239" s="263">
        <f ca="1">IF(WDATE&lt;(TODAY()-'Look Ups'!$D$4*365),-WM*'Look Ups'!$D$5/100,0)</f>
        <v>-152.69999999999999</v>
      </c>
      <c r="Z239" s="103"/>
      <c r="AA239" s="109"/>
      <c r="AB239" s="109"/>
      <c r="AC239" s="265">
        <f>WCD+NC*'Look Ups'!$AF$3</f>
        <v>0</v>
      </c>
      <c r="AD239" s="265">
        <f ca="1">IF(RL&lt;'Look Ups'!AM$3,'Look Ups'!AM$4,IF(RL&gt;'Look Ups'!AM$5,'Look Ups'!AM$6,(RL-'Look Ups'!AM$3)/('Look Ups'!AM$5-'Look Ups'!AM$3)*('Look Ups'!AM$6-'Look Ups'!AM$4)+'Look Ups'!AM$4))/100*WS</f>
        <v>241.02538181818181</v>
      </c>
      <c r="AE239" s="269">
        <f t="shared" ca="1" si="64"/>
        <v>865.3</v>
      </c>
      <c r="AF239" s="267">
        <f t="shared" ca="1" si="65"/>
        <v>865.3</v>
      </c>
      <c r="AG239" s="94" t="s">
        <v>145</v>
      </c>
      <c r="AH239" s="95" t="s">
        <v>146</v>
      </c>
      <c r="AI239" s="96" t="s">
        <v>147</v>
      </c>
      <c r="AJ239" s="218"/>
      <c r="AK239" s="273">
        <f>IF(C239="",0,VLOOKUP(AG239,'Look Ups'!$F$3:$G$6,2,0)*VLOOKUP(AH239,'Look Ups'!$I$3:$J$5,2,0)*VLOOKUP(AI239,'Look Ups'!$L$3:$M$7,2,0)*IF(AJ239="",1,VLOOKUP(AJ239,'Look Ups'!$O$3:$P$4,2,0)))</f>
        <v>1</v>
      </c>
      <c r="AL239" s="83">
        <v>10.9</v>
      </c>
      <c r="AM239" s="91">
        <v>9.89</v>
      </c>
      <c r="AN239" s="91">
        <v>3.06</v>
      </c>
      <c r="AO239" s="91">
        <v>1.17</v>
      </c>
      <c r="AP239" s="91">
        <v>0.26</v>
      </c>
      <c r="AQ239" s="91">
        <v>9.6999999999999993</v>
      </c>
      <c r="AR239" s="91">
        <v>0.09</v>
      </c>
      <c r="AS239" s="91">
        <v>3.21</v>
      </c>
      <c r="AT239" s="91">
        <v>0.03</v>
      </c>
      <c r="AU239" s="91">
        <v>0.49</v>
      </c>
      <c r="AV239" s="91" t="s">
        <v>148</v>
      </c>
      <c r="AW239" s="97">
        <v>0</v>
      </c>
      <c r="AX239" s="256">
        <f t="shared" si="66"/>
        <v>9.7299999999999986</v>
      </c>
      <c r="AY239" s="256">
        <f t="shared" si="67"/>
        <v>1.7823749999999998</v>
      </c>
      <c r="AZ239" s="275">
        <f>IF(C239="",0,(0.5*(_ML1*LPM)+0.5*(_ML1*HB)+0.66*(P*PR)+0.66*(_ML2*RDM)+0.66*(E*ER))*VLOOKUP(BATT,'Look Ups'!$U$3:$V$4,2,0))</f>
        <v>25.390362</v>
      </c>
      <c r="BA239" s="98"/>
      <c r="BB239" s="99"/>
      <c r="BC239" s="83">
        <v>8.6999999999999993</v>
      </c>
      <c r="BD239" s="91">
        <v>2.68</v>
      </c>
      <c r="BE239" s="91">
        <v>2.95</v>
      </c>
      <c r="BF239" s="91">
        <v>0.16</v>
      </c>
      <c r="BG239" s="91">
        <v>7.93</v>
      </c>
      <c r="BH239" s="91"/>
      <c r="BI239" s="91"/>
      <c r="BJ239" s="91">
        <v>0.1</v>
      </c>
      <c r="BK239" s="91">
        <v>0</v>
      </c>
      <c r="BL239" s="97">
        <v>0</v>
      </c>
      <c r="BM239" s="275">
        <f t="shared" si="68"/>
        <v>12.492899999999999</v>
      </c>
      <c r="BN239" s="319"/>
      <c r="BO239" s="320"/>
      <c r="BP239" s="321"/>
      <c r="BQ239" s="321"/>
      <c r="BR239" s="320"/>
      <c r="BS239" s="321"/>
      <c r="BT239" s="321"/>
      <c r="BU239" s="280">
        <f t="shared" si="69"/>
        <v>0</v>
      </c>
      <c r="BV239" s="322"/>
      <c r="BW239" s="320"/>
      <c r="BX239" s="320"/>
      <c r="BY239" s="320"/>
      <c r="BZ239" s="320"/>
      <c r="CA239" s="320"/>
      <c r="CB239" s="320"/>
      <c r="CC239" s="275">
        <f t="shared" si="70"/>
        <v>0</v>
      </c>
      <c r="CD239" s="98">
        <v>6.85</v>
      </c>
      <c r="CE239" s="91">
        <v>10.7</v>
      </c>
      <c r="CF239" s="91">
        <v>10.02</v>
      </c>
      <c r="CG239" s="91">
        <v>5.83</v>
      </c>
      <c r="CH239" s="266">
        <f t="shared" si="71"/>
        <v>85.109489051094897</v>
      </c>
      <c r="CI239" s="320"/>
      <c r="CJ239" s="280">
        <f t="shared" si="72"/>
        <v>52.093533333333326</v>
      </c>
      <c r="CK239" s="83">
        <v>5.87</v>
      </c>
      <c r="CL239" s="91">
        <v>9.9600000000000009</v>
      </c>
      <c r="CM239" s="91">
        <v>8.98</v>
      </c>
      <c r="CN239" s="91">
        <v>3.01</v>
      </c>
      <c r="CO239" s="256">
        <f t="shared" si="73"/>
        <v>51.277683134582617</v>
      </c>
      <c r="CP239" s="320"/>
      <c r="CQ239" s="256">
        <f t="shared" si="74"/>
        <v>28.267949999999999</v>
      </c>
      <c r="CR239" s="256" t="str">
        <f>IF(CO239&lt;'Look Ups'!$AC$4,"Yes","No")</f>
        <v>Yes</v>
      </c>
      <c r="CS239" s="293">
        <f>IF(CR239="Yes",MIN(150,('Look Ups'!$AC$4-PSCR)/('Look Ups'!$AC$4-'Look Ups'!$AC$3)*100),0)</f>
        <v>14.446337308347665</v>
      </c>
      <c r="CT239" s="83"/>
      <c r="CU239" s="91"/>
      <c r="CV239" s="91"/>
      <c r="CW239" s="91"/>
      <c r="CX239" s="256" t="str">
        <f t="shared" si="75"/>
        <v/>
      </c>
      <c r="CY239" s="293">
        <f>IF(PUSCR&lt;'Look Ups'!$AC$4,MIN(150,('Look Ups'!$AC$4-PUSCR)/('Look Ups'!$AC$4-'Look Ups'!$AC$3)*100),0)</f>
        <v>0</v>
      </c>
      <c r="CZ239" s="275">
        <f>IF(PUSCR&lt;'Look Ups'!$AC$4,USCRF*(USCRL1+USCRL2)/4+(USCRMG-USCRF/2)*(USCRL1+USCRL2)/3,0)</f>
        <v>0</v>
      </c>
      <c r="DA239" s="294">
        <f t="shared" si="76"/>
        <v>1</v>
      </c>
      <c r="DB239" s="256">
        <f t="shared" si="77"/>
        <v>27.172736999999998</v>
      </c>
      <c r="DC239" s="256">
        <f t="shared" si="78"/>
        <v>1</v>
      </c>
      <c r="DD239" s="256">
        <f t="shared" si="79"/>
        <v>12.492899999999999</v>
      </c>
      <c r="DE239" s="256">
        <f>IF(AZ239&gt;0,'Look Ups'!$S$3,0)</f>
        <v>1</v>
      </c>
      <c r="DF239" s="256">
        <f t="shared" si="80"/>
        <v>0</v>
      </c>
      <c r="DG239" s="256">
        <f t="shared" si="81"/>
        <v>0</v>
      </c>
      <c r="DH239" s="256">
        <f t="shared" si="82"/>
        <v>0</v>
      </c>
      <c r="DI239" s="280">
        <f t="shared" si="83"/>
        <v>0</v>
      </c>
      <c r="DJ239" s="295" t="str">
        <f t="shared" si="84"/>
        <v>valid</v>
      </c>
      <c r="DK239" s="266" t="str">
        <f t="shared" si="85"/>
        <v>valid</v>
      </c>
      <c r="DL239" s="267" t="str">
        <f t="shared" si="86"/>
        <v>MGScrSP</v>
      </c>
      <c r="DM239" s="294">
        <f t="shared" si="87"/>
        <v>39.665636999999997</v>
      </c>
      <c r="DN239" s="256">
        <f>IF(MSASP&gt;0,'Look Ups'!$AI$4*(ZVAL*MSASP-RSAG),0)</f>
        <v>11.880189999999997</v>
      </c>
      <c r="DO239" s="256">
        <f>IF(AND(MSASC&gt;0,(MSASC&gt;=0.36*RSAM)),('Look Ups'!$AI$3*(ZVAL*MSASC-RSAG)),(0))</f>
        <v>5.5212674999999996</v>
      </c>
      <c r="DP239" s="256">
        <f>IF(MSASP&gt;0,'Look Ups'!$AI$5*(ZVAL*MSASP-RSAG),0)</f>
        <v>11.088177333333332</v>
      </c>
      <c r="DQ239" s="256">
        <f>IF(MSASC&gt;0,'Look Ups'!$AI$6*(MSASC-RSAG),0)</f>
        <v>1.1042535000000002</v>
      </c>
      <c r="DR239" s="280">
        <f>'Look Ups'!$AI$7*MAX(IF(MSAUSC&gt;0,EUSC/100*(MSAUSC-RSAG),0),IF(CR239="Yes",ELSC/100*(MSASC-RSAG),0))</f>
        <v>0.5697292333901246</v>
      </c>
      <c r="DS239" s="280">
        <f t="shared" si="88"/>
        <v>9.7821853199999982</v>
      </c>
      <c r="DT239" s="296">
        <f t="shared" si="89"/>
        <v>52.427797066723457</v>
      </c>
      <c r="DU239" s="14"/>
    </row>
    <row r="240" spans="1:125" ht="15.6" customHeight="1" x14ac:dyDescent="0.3">
      <c r="A240" s="4"/>
      <c r="B240" s="365"/>
      <c r="C240" s="369" t="s">
        <v>827</v>
      </c>
      <c r="D240" s="370" t="s">
        <v>828</v>
      </c>
      <c r="E240" s="371" t="s">
        <v>829</v>
      </c>
      <c r="F240" s="252">
        <f t="shared" ca="1" si="60"/>
        <v>0.83799999999999997</v>
      </c>
      <c r="G240" s="252" t="str">
        <f ca="1">IF(OR(FLSCR="ERROR",FLSPI="ERROR"),"No",IF(TODAY()-'Look Ups'!$D$4*365&gt;I240,"WP Applied","Yes"))</f>
        <v>WP Applied</v>
      </c>
      <c r="H240" s="253" t="str">
        <f t="shared" si="61"/>
        <v>Main-Genoa-Spinnaker</v>
      </c>
      <c r="I240" s="1">
        <v>36141</v>
      </c>
      <c r="J240" s="1"/>
      <c r="K240" s="87" t="s">
        <v>176</v>
      </c>
      <c r="L240" s="87" t="s">
        <v>589</v>
      </c>
      <c r="M240" s="207"/>
      <c r="N240" s="88" t="s">
        <v>271</v>
      </c>
      <c r="O240" s="88"/>
      <c r="P240" s="89">
        <v>5.4</v>
      </c>
      <c r="Q240" s="90">
        <v>7.42</v>
      </c>
      <c r="R240" s="87"/>
      <c r="S240" s="256">
        <f t="shared" si="62"/>
        <v>0.1855</v>
      </c>
      <c r="T240" s="117">
        <v>0.14000000000000001</v>
      </c>
      <c r="U240" s="117">
        <v>0</v>
      </c>
      <c r="V240" s="258">
        <f t="shared" si="63"/>
        <v>7.28</v>
      </c>
      <c r="W240" s="259">
        <f>IF(RL&gt;0,IF(RL&gt;'Look Ups'!Y$7,'Look Ups'!Y$8,('Look Ups'!Y$3*RL^3+'Look Ups'!Y$4*RL^2+'Look Ups'!Y$5*RL+'Look Ups'!Y$6)),0)</f>
        <v>0.29099457561600001</v>
      </c>
      <c r="X240" s="92">
        <v>1046</v>
      </c>
      <c r="Y240" s="263">
        <f ca="1">IF(WDATE&lt;(TODAY()-'Look Ups'!$D$4*365),-WM*'Look Ups'!$D$5/100,0)</f>
        <v>-156.9</v>
      </c>
      <c r="Z240" s="103"/>
      <c r="AA240" s="109"/>
      <c r="AB240" s="109"/>
      <c r="AC240" s="265">
        <f>WCD+NC*'Look Ups'!$AF$3</f>
        <v>0</v>
      </c>
      <c r="AD240" s="265">
        <f ca="1">IF(RL&lt;'Look Ups'!AM$3,'Look Ups'!AM$4,IF(RL&gt;'Look Ups'!AM$5,'Look Ups'!AM$6,(RL-'Look Ups'!AM$3)/('Look Ups'!AM$5-'Look Ups'!AM$3)*('Look Ups'!AM$6-'Look Ups'!AM$4)+'Look Ups'!AM$4))/100*WS</f>
        <v>247.97807272727272</v>
      </c>
      <c r="AE240" s="269">
        <f t="shared" ca="1" si="64"/>
        <v>889.1</v>
      </c>
      <c r="AF240" s="267">
        <f t="shared" ca="1" si="65"/>
        <v>889.1</v>
      </c>
      <c r="AG240" s="94" t="s">
        <v>145</v>
      </c>
      <c r="AH240" s="95" t="s">
        <v>146</v>
      </c>
      <c r="AI240" s="96" t="s">
        <v>147</v>
      </c>
      <c r="AJ240" s="218"/>
      <c r="AK240" s="273">
        <f>IF(C240="",0,VLOOKUP(AG240,'Look Ups'!$F$3:$G$6,2,0)*VLOOKUP(AH240,'Look Ups'!$I$3:$J$5,2,0)*VLOOKUP(AI240,'Look Ups'!$L$3:$M$7,2,0)*IF(AJ240="",1,VLOOKUP(AJ240,'Look Ups'!$O$3:$P$4,2,0)))</f>
        <v>1</v>
      </c>
      <c r="AL240" s="83">
        <v>9.18</v>
      </c>
      <c r="AM240" s="91">
        <v>8.89</v>
      </c>
      <c r="AN240" s="91">
        <v>3.34</v>
      </c>
      <c r="AO240" s="91">
        <v>0.74</v>
      </c>
      <c r="AP240" s="91">
        <v>0.78</v>
      </c>
      <c r="AQ240" s="91">
        <v>8.59</v>
      </c>
      <c r="AR240" s="91">
        <v>0.05</v>
      </c>
      <c r="AS240" s="91">
        <v>3.49</v>
      </c>
      <c r="AT240" s="91">
        <v>0</v>
      </c>
      <c r="AU240" s="91">
        <v>0.44</v>
      </c>
      <c r="AV240" s="91" t="s">
        <v>148</v>
      </c>
      <c r="AW240" s="97">
        <v>0</v>
      </c>
      <c r="AX240" s="256">
        <f t="shared" si="66"/>
        <v>8.59</v>
      </c>
      <c r="AY240" s="256">
        <f t="shared" si="67"/>
        <v>1.4173499999999999</v>
      </c>
      <c r="AZ240" s="275">
        <f>IF(C240="",0,(0.5*(_ML1*LPM)+0.5*(_ML1*HB)+0.66*(P*PR)+0.66*(_ML2*RDM)+0.66*(E*ER))*VLOOKUP(BATT,'Look Ups'!$U$3:$V$4,2,0))</f>
        <v>23.587242000000003</v>
      </c>
      <c r="BA240" s="98"/>
      <c r="BB240" s="99"/>
      <c r="BC240" s="83">
        <v>8.14</v>
      </c>
      <c r="BD240" s="91">
        <v>2.54</v>
      </c>
      <c r="BE240" s="91">
        <v>2.9</v>
      </c>
      <c r="BF240" s="91">
        <v>0.08</v>
      </c>
      <c r="BG240" s="91">
        <v>7.78</v>
      </c>
      <c r="BH240" s="91"/>
      <c r="BI240" s="91"/>
      <c r="BJ240" s="91">
        <v>0.04</v>
      </c>
      <c r="BK240" s="91">
        <v>-0.09</v>
      </c>
      <c r="BL240" s="97"/>
      <c r="BM240" s="275">
        <f t="shared" si="68"/>
        <v>10.212796000000001</v>
      </c>
      <c r="BN240" s="319"/>
      <c r="BO240" s="320"/>
      <c r="BP240" s="321"/>
      <c r="BQ240" s="321"/>
      <c r="BR240" s="320"/>
      <c r="BS240" s="321"/>
      <c r="BT240" s="321"/>
      <c r="BU240" s="280">
        <f t="shared" si="69"/>
        <v>0</v>
      </c>
      <c r="BV240" s="322"/>
      <c r="BW240" s="320"/>
      <c r="BX240" s="320"/>
      <c r="BY240" s="320"/>
      <c r="BZ240" s="320"/>
      <c r="CA240" s="320"/>
      <c r="CB240" s="320"/>
      <c r="CC240" s="275">
        <f t="shared" si="70"/>
        <v>0</v>
      </c>
      <c r="CD240" s="98">
        <v>6.25</v>
      </c>
      <c r="CE240" s="91">
        <v>10.1</v>
      </c>
      <c r="CF240" s="91">
        <v>8</v>
      </c>
      <c r="CG240" s="91">
        <v>5.65</v>
      </c>
      <c r="CH240" s="266">
        <f t="shared" si="71"/>
        <v>90.4</v>
      </c>
      <c r="CI240" s="320"/>
      <c r="CJ240" s="280">
        <f t="shared" si="72"/>
        <v>43.515416666666674</v>
      </c>
      <c r="CK240" s="83"/>
      <c r="CL240" s="91"/>
      <c r="CM240" s="91"/>
      <c r="CN240" s="91"/>
      <c r="CO240" s="256" t="str">
        <f t="shared" si="73"/>
        <v/>
      </c>
      <c r="CP240" s="320"/>
      <c r="CQ240" s="256">
        <f t="shared" si="74"/>
        <v>0</v>
      </c>
      <c r="CR240" s="256" t="str">
        <f>IF(CO240&lt;'Look Ups'!$AC$4,"Yes","No")</f>
        <v>No</v>
      </c>
      <c r="CS240" s="293">
        <f>IF(CR240="Yes",MIN(150,('Look Ups'!$AC$4-PSCR)/('Look Ups'!$AC$4-'Look Ups'!$AC$3)*100),0)</f>
        <v>0</v>
      </c>
      <c r="CT240" s="83"/>
      <c r="CU240" s="91"/>
      <c r="CV240" s="91"/>
      <c r="CW240" s="91"/>
      <c r="CX240" s="256" t="str">
        <f t="shared" si="75"/>
        <v/>
      </c>
      <c r="CY240" s="293">
        <f>IF(PUSCR&lt;'Look Ups'!$AC$4,MIN(150,('Look Ups'!$AC$4-PUSCR)/('Look Ups'!$AC$4-'Look Ups'!$AC$3)*100),0)</f>
        <v>0</v>
      </c>
      <c r="CZ240" s="275">
        <f>IF(PUSCR&lt;'Look Ups'!$AC$4,USCRF*(USCRL1+USCRL2)/4+(USCRMG-USCRF/2)*(USCRL1+USCRL2)/3,0)</f>
        <v>0</v>
      </c>
      <c r="DA240" s="294">
        <f t="shared" si="76"/>
        <v>1</v>
      </c>
      <c r="DB240" s="256">
        <f t="shared" si="77"/>
        <v>25.004592000000002</v>
      </c>
      <c r="DC240" s="256">
        <f t="shared" si="78"/>
        <v>1</v>
      </c>
      <c r="DD240" s="256">
        <f t="shared" si="79"/>
        <v>10.212796000000001</v>
      </c>
      <c r="DE240" s="256">
        <f>IF(AZ240&gt;0,'Look Ups'!$S$3,0)</f>
        <v>1</v>
      </c>
      <c r="DF240" s="256">
        <f t="shared" si="80"/>
        <v>0</v>
      </c>
      <c r="DG240" s="256">
        <f t="shared" si="81"/>
        <v>0</v>
      </c>
      <c r="DH240" s="256">
        <f t="shared" si="82"/>
        <v>0</v>
      </c>
      <c r="DI240" s="280">
        <f t="shared" si="83"/>
        <v>0</v>
      </c>
      <c r="DJ240" s="295" t="str">
        <f t="shared" si="84"/>
        <v>-</v>
      </c>
      <c r="DK240" s="266" t="str">
        <f t="shared" si="85"/>
        <v>valid</v>
      </c>
      <c r="DL240" s="267" t="str">
        <f t="shared" si="86"/>
        <v>MGSP</v>
      </c>
      <c r="DM240" s="294">
        <f t="shared" si="87"/>
        <v>35.217388</v>
      </c>
      <c r="DN240" s="256">
        <f>IF(MSASP&gt;0,'Look Ups'!$AI$4*(ZVAL*MSASP-RSAG),0)</f>
        <v>9.9907862000000005</v>
      </c>
      <c r="DO240" s="256">
        <f>IF(AND(MSASC&gt;0,(MSASC&gt;=0.36*RSAM)),('Look Ups'!$AI$3*(ZVAL*MSASC-RSAG)),(0))</f>
        <v>0</v>
      </c>
      <c r="DP240" s="256">
        <f>IF(MSASP&gt;0,'Look Ups'!$AI$5*(ZVAL*MSASP-RSAG),0)</f>
        <v>9.324733786666668</v>
      </c>
      <c r="DQ240" s="256">
        <f>IF(MSASC&gt;0,'Look Ups'!$AI$6*(MSASC-RSAG),0)</f>
        <v>0</v>
      </c>
      <c r="DR240" s="280">
        <f>'Look Ups'!$AI$7*MAX(IF(MSAUSC&gt;0,EUSC/100*(MSAUSC-RSAG),0),IF(CR240="Yes",ELSC/100*(MSASC-RSAG),0))</f>
        <v>0</v>
      </c>
      <c r="DS240" s="280">
        <f t="shared" si="88"/>
        <v>9.0016531200000003</v>
      </c>
      <c r="DT240" s="296">
        <f t="shared" si="89"/>
        <v>45.208174200000002</v>
      </c>
      <c r="DU240" s="14"/>
    </row>
    <row r="241" spans="1:125" ht="15.6" customHeight="1" x14ac:dyDescent="0.3">
      <c r="A241" s="4"/>
      <c r="B241" s="365"/>
      <c r="C241" s="369" t="s">
        <v>830</v>
      </c>
      <c r="D241" s="370" t="s">
        <v>436</v>
      </c>
      <c r="E241" s="371" t="s">
        <v>831</v>
      </c>
      <c r="F241" s="252">
        <f t="shared" ca="1" si="60"/>
        <v>0.83099999999999996</v>
      </c>
      <c r="G241" s="252" t="str">
        <f ca="1">IF(OR(FLSCR="ERROR",FLSPI="ERROR"),"No",IF(TODAY()-'Look Ups'!$D$4*365&gt;I241,"WP Applied","Yes"))</f>
        <v>WP Applied</v>
      </c>
      <c r="H241" s="253" t="str">
        <f t="shared" si="61"/>
        <v>Main-Genoa-Screacher (Upwind)-Spinnaker</v>
      </c>
      <c r="I241" s="1">
        <v>41662</v>
      </c>
      <c r="J241" s="1">
        <v>41744</v>
      </c>
      <c r="K241" s="87" t="s">
        <v>832</v>
      </c>
      <c r="L241" s="87" t="s">
        <v>159</v>
      </c>
      <c r="M241" s="207"/>
      <c r="N241" s="88" t="s">
        <v>165</v>
      </c>
      <c r="O241" s="88" t="s">
        <v>144</v>
      </c>
      <c r="P241" s="89"/>
      <c r="Q241" s="90">
        <v>11.73</v>
      </c>
      <c r="R241" s="87"/>
      <c r="S241" s="256">
        <f t="shared" si="62"/>
        <v>0.29325000000000001</v>
      </c>
      <c r="T241" s="117">
        <v>0.16</v>
      </c>
      <c r="U241" s="117">
        <v>0</v>
      </c>
      <c r="V241" s="258">
        <f t="shared" si="63"/>
        <v>11.57</v>
      </c>
      <c r="W241" s="259">
        <f>IF(RL&gt;0,IF(RL&gt;'Look Ups'!Y$7,'Look Ups'!Y$8,('Look Ups'!Y$3*RL^3+'Look Ups'!Y$4*RL^2+'Look Ups'!Y$5*RL+'Look Ups'!Y$6)),0)</f>
        <v>0.29981509746900004</v>
      </c>
      <c r="X241" s="92">
        <v>5070</v>
      </c>
      <c r="Y241" s="263">
        <f ca="1">IF(WDATE&lt;(TODAY()-'Look Ups'!$D$4*365),-WM*'Look Ups'!$D$5/100,0)</f>
        <v>-760.5</v>
      </c>
      <c r="Z241" s="103"/>
      <c r="AA241" s="109"/>
      <c r="AB241" s="109"/>
      <c r="AC241" s="265">
        <f>WCD+NC*'Look Ups'!$AF$3</f>
        <v>0</v>
      </c>
      <c r="AD241" s="265">
        <f ca="1">IF(RL&lt;'Look Ups'!AM$3,'Look Ups'!AM$4,IF(RL&gt;'Look Ups'!AM$5,'Look Ups'!AM$6,(RL-'Look Ups'!AM$3)/('Look Ups'!AM$5-'Look Ups'!AM$3)*('Look Ups'!AM$6-'Look Ups'!AM$4)+'Look Ups'!AM$4))/100*WS</f>
        <v>529.67672727272725</v>
      </c>
      <c r="AE241" s="269">
        <f t="shared" ca="1" si="64"/>
        <v>4309.5</v>
      </c>
      <c r="AF241" s="267">
        <f t="shared" ca="1" si="65"/>
        <v>4309.5</v>
      </c>
      <c r="AG241" s="94" t="s">
        <v>145</v>
      </c>
      <c r="AH241" s="95" t="s">
        <v>146</v>
      </c>
      <c r="AI241" s="96" t="s">
        <v>147</v>
      </c>
      <c r="AJ241" s="218"/>
      <c r="AK241" s="273">
        <f>IF(C241="",0,VLOOKUP(AG241,'Look Ups'!$F$3:$G$6,2,0)*VLOOKUP(AH241,'Look Ups'!$I$3:$J$5,2,0)*VLOOKUP(AI241,'Look Ups'!$L$3:$M$7,2,0)*IF(AJ241="",1,VLOOKUP(AJ241,'Look Ups'!$O$3:$P$4,2,0)))</f>
        <v>1</v>
      </c>
      <c r="AL241" s="83">
        <v>15.11</v>
      </c>
      <c r="AM241" s="91">
        <v>14.82</v>
      </c>
      <c r="AN241" s="91">
        <v>4.29</v>
      </c>
      <c r="AO241" s="91">
        <v>1.4</v>
      </c>
      <c r="AP241" s="91">
        <v>0.33</v>
      </c>
      <c r="AQ241" s="91">
        <v>14.78</v>
      </c>
      <c r="AR241" s="91">
        <v>0.16</v>
      </c>
      <c r="AS241" s="91">
        <v>4.3979999999999997</v>
      </c>
      <c r="AT241" s="91">
        <v>0.04</v>
      </c>
      <c r="AU241" s="91"/>
      <c r="AV241" s="91" t="s">
        <v>148</v>
      </c>
      <c r="AW241" s="97">
        <v>0</v>
      </c>
      <c r="AX241" s="256">
        <f t="shared" si="66"/>
        <v>14.819999999999999</v>
      </c>
      <c r="AY241" s="256">
        <f t="shared" si="67"/>
        <v>0</v>
      </c>
      <c r="AZ241" s="275">
        <f>IF(C241="",0,(0.5*(_ML1*LPM)+0.5*(_ML1*HB)+0.66*(P*PR)+0.66*(_ML2*RDM)+0.66*(E*ER))*VLOOKUP(BATT,'Look Ups'!$U$3:$V$4,2,0))</f>
        <v>47.892621200000001</v>
      </c>
      <c r="BA241" s="98"/>
      <c r="BB241" s="99"/>
      <c r="BC241" s="83">
        <v>13.94</v>
      </c>
      <c r="BD241" s="91">
        <v>4.62</v>
      </c>
      <c r="BE241" s="91">
        <v>5.3</v>
      </c>
      <c r="BF241" s="91">
        <v>0.08</v>
      </c>
      <c r="BG241" s="91">
        <v>12.14</v>
      </c>
      <c r="BH241" s="91">
        <v>12.14</v>
      </c>
      <c r="BI241" s="91"/>
      <c r="BJ241" s="91">
        <v>-0.18</v>
      </c>
      <c r="BK241" s="91">
        <v>0.06</v>
      </c>
      <c r="BL241" s="97">
        <v>0</v>
      </c>
      <c r="BM241" s="275">
        <f t="shared" si="68"/>
        <v>31.591032000000002</v>
      </c>
      <c r="BN241" s="319"/>
      <c r="BO241" s="320"/>
      <c r="BP241" s="321"/>
      <c r="BQ241" s="321"/>
      <c r="BR241" s="320"/>
      <c r="BS241" s="321"/>
      <c r="BT241" s="321"/>
      <c r="BU241" s="280">
        <f t="shared" si="69"/>
        <v>0</v>
      </c>
      <c r="BV241" s="322"/>
      <c r="BW241" s="320"/>
      <c r="BX241" s="320"/>
      <c r="BY241" s="320"/>
      <c r="BZ241" s="320"/>
      <c r="CA241" s="320"/>
      <c r="CB241" s="320"/>
      <c r="CC241" s="275">
        <f t="shared" si="70"/>
        <v>0</v>
      </c>
      <c r="CD241" s="98">
        <v>8.9</v>
      </c>
      <c r="CE241" s="91">
        <v>14.35</v>
      </c>
      <c r="CF241" s="91">
        <v>16.73</v>
      </c>
      <c r="CG241" s="91">
        <v>9.4600000000000009</v>
      </c>
      <c r="CH241" s="266">
        <f t="shared" si="71"/>
        <v>106.29213483146067</v>
      </c>
      <c r="CI241" s="320"/>
      <c r="CJ241" s="280">
        <f t="shared" si="72"/>
        <v>121.0566</v>
      </c>
      <c r="CK241" s="83">
        <v>8.16</v>
      </c>
      <c r="CL241" s="91">
        <v>14.67</v>
      </c>
      <c r="CM241" s="91">
        <v>12.41</v>
      </c>
      <c r="CN241" s="91">
        <v>4.117</v>
      </c>
      <c r="CO241" s="256">
        <f t="shared" si="73"/>
        <v>50.453431372549019</v>
      </c>
      <c r="CP241" s="320"/>
      <c r="CQ241" s="256">
        <f t="shared" si="74"/>
        <v>55.577186666666663</v>
      </c>
      <c r="CR241" s="256" t="str">
        <f>IF(CO241&lt;'Look Ups'!$AC$4,"Yes","No")</f>
        <v>Yes</v>
      </c>
      <c r="CS241" s="293">
        <f>IF(CR241="Yes",MIN(150,('Look Ups'!$AC$4-PSCR)/('Look Ups'!$AC$4-'Look Ups'!$AC$3)*100),0)</f>
        <v>30.931372549019613</v>
      </c>
      <c r="CT241" s="83"/>
      <c r="CU241" s="91"/>
      <c r="CV241" s="91"/>
      <c r="CW241" s="91"/>
      <c r="CX241" s="256" t="str">
        <f t="shared" si="75"/>
        <v/>
      </c>
      <c r="CY241" s="293">
        <f>IF(PUSCR&lt;'Look Ups'!$AC$4,MIN(150,('Look Ups'!$AC$4-PUSCR)/('Look Ups'!$AC$4-'Look Ups'!$AC$3)*100),0)</f>
        <v>0</v>
      </c>
      <c r="CZ241" s="275">
        <f>IF(PUSCR&lt;'Look Ups'!$AC$4,USCRF*(USCRL1+USCRL2)/4+(USCRMG-USCRF/2)*(USCRL1+USCRL2)/3,0)</f>
        <v>0</v>
      </c>
      <c r="DA241" s="294">
        <f t="shared" si="76"/>
        <v>1</v>
      </c>
      <c r="DB241" s="256">
        <f t="shared" si="77"/>
        <v>47.892621200000001</v>
      </c>
      <c r="DC241" s="256">
        <f t="shared" si="78"/>
        <v>1</v>
      </c>
      <c r="DD241" s="256">
        <f t="shared" si="79"/>
        <v>31.591032000000002</v>
      </c>
      <c r="DE241" s="256">
        <f>IF(AZ241&gt;0,'Look Ups'!$S$3,0)</f>
        <v>1</v>
      </c>
      <c r="DF241" s="256">
        <f t="shared" si="80"/>
        <v>0</v>
      </c>
      <c r="DG241" s="256">
        <f t="shared" si="81"/>
        <v>0</v>
      </c>
      <c r="DH241" s="256">
        <f t="shared" si="82"/>
        <v>0</v>
      </c>
      <c r="DI241" s="280">
        <f t="shared" si="83"/>
        <v>0</v>
      </c>
      <c r="DJ241" s="295" t="str">
        <f t="shared" si="84"/>
        <v>valid</v>
      </c>
      <c r="DK241" s="266" t="str">
        <f t="shared" si="85"/>
        <v>valid</v>
      </c>
      <c r="DL241" s="267" t="str">
        <f t="shared" si="86"/>
        <v>MGScrSP</v>
      </c>
      <c r="DM241" s="294">
        <f t="shared" si="87"/>
        <v>79.483653200000006</v>
      </c>
      <c r="DN241" s="256">
        <f>IF(MSASP&gt;0,'Look Ups'!$AI$4*(ZVAL*MSASP-RSAG),0)</f>
        <v>26.839670399999999</v>
      </c>
      <c r="DO241" s="256">
        <f>IF(AND(MSASC&gt;0,(MSASC&gt;=0.36*RSAM)),('Look Ups'!$AI$3*(ZVAL*MSASC-RSAG)),(0))</f>
        <v>8.3951541333333299</v>
      </c>
      <c r="DP241" s="256">
        <f>IF(MSASP&gt;0,'Look Ups'!$AI$5*(ZVAL*MSASP-RSAG),0)</f>
        <v>25.050359040000004</v>
      </c>
      <c r="DQ241" s="256">
        <f>IF(MSASC&gt;0,'Look Ups'!$AI$6*(MSASC-RSAG),0)</f>
        <v>1.6790308266666665</v>
      </c>
      <c r="DR241" s="280">
        <f>'Look Ups'!$AI$7*MAX(IF(MSAUSC&gt;0,EUSC/100*(MSAUSC-RSAG),0),IF(CR241="Yes",ELSC/100*(MSASC-RSAG),0))</f>
        <v>1.8548117150326797</v>
      </c>
      <c r="DS241" s="280">
        <f t="shared" si="88"/>
        <v>17.241343632</v>
      </c>
      <c r="DT241" s="296">
        <f t="shared" si="89"/>
        <v>108.06785478169935</v>
      </c>
      <c r="DU241" s="14"/>
    </row>
    <row r="242" spans="1:125" ht="15.6" customHeight="1" x14ac:dyDescent="0.3">
      <c r="A242" s="4"/>
      <c r="B242" s="365"/>
      <c r="C242" s="369" t="s">
        <v>833</v>
      </c>
      <c r="D242" s="370" t="s">
        <v>834</v>
      </c>
      <c r="E242" s="371" t="s">
        <v>835</v>
      </c>
      <c r="F242" s="252">
        <f t="shared" ca="1" si="60"/>
        <v>0.872</v>
      </c>
      <c r="G242" s="252" t="str">
        <f ca="1">IF(OR(FLSCR="ERROR",FLSPI="ERROR"),"No",IF(TODAY()-'Look Ups'!$D$4*365&gt;I242,"WP Applied","Yes"))</f>
        <v>WP Applied</v>
      </c>
      <c r="H242" s="253" t="str">
        <f t="shared" si="61"/>
        <v>Main-Genoa-Screacher (Upwind)-Spinnaker</v>
      </c>
      <c r="I242" s="1">
        <v>40502</v>
      </c>
      <c r="J242" s="1">
        <v>40504</v>
      </c>
      <c r="K242" s="87" t="s">
        <v>240</v>
      </c>
      <c r="L242" s="87" t="s">
        <v>170</v>
      </c>
      <c r="M242" s="207"/>
      <c r="N242" s="88" t="s">
        <v>143</v>
      </c>
      <c r="O242" s="88" t="s">
        <v>154</v>
      </c>
      <c r="P242" s="89"/>
      <c r="Q242" s="90">
        <v>7.49</v>
      </c>
      <c r="R242" s="87"/>
      <c r="S242" s="256">
        <f t="shared" si="62"/>
        <v>0.18725000000000003</v>
      </c>
      <c r="T242" s="117">
        <v>0.23</v>
      </c>
      <c r="U242" s="117">
        <v>0</v>
      </c>
      <c r="V242" s="258">
        <f t="shared" si="63"/>
        <v>7.26</v>
      </c>
      <c r="W242" s="259">
        <f>IF(RL&gt;0,IF(RL&gt;'Look Ups'!Y$7,'Look Ups'!Y$8,('Look Ups'!Y$3*RL^3+'Look Ups'!Y$4*RL^2+'Look Ups'!Y$5*RL+'Look Ups'!Y$6)),0)</f>
        <v>0.290907046808</v>
      </c>
      <c r="X242" s="92">
        <v>980</v>
      </c>
      <c r="Y242" s="263">
        <f ca="1">IF(WDATE&lt;(TODAY()-'Look Ups'!$D$4*365),-WM*'Look Ups'!$D$5/100,0)</f>
        <v>-147</v>
      </c>
      <c r="Z242" s="103"/>
      <c r="AA242" s="109"/>
      <c r="AB242" s="109"/>
      <c r="AC242" s="265">
        <f>WCD+NC*'Look Ups'!$AF$3</f>
        <v>0</v>
      </c>
      <c r="AD242" s="265">
        <f ca="1">IF(RL&lt;'Look Ups'!AM$3,'Look Ups'!AM$4,IF(RL&gt;'Look Ups'!AM$5,'Look Ups'!AM$6,(RL-'Look Ups'!AM$3)/('Look Ups'!AM$5-'Look Ups'!AM$3)*('Look Ups'!AM$6-'Look Ups'!AM$4)+'Look Ups'!AM$4))/100*WS</f>
        <v>232.9370909090909</v>
      </c>
      <c r="AE242" s="269">
        <f t="shared" ca="1" si="64"/>
        <v>833</v>
      </c>
      <c r="AF242" s="267">
        <f t="shared" ca="1" si="65"/>
        <v>833</v>
      </c>
      <c r="AG242" s="94" t="s">
        <v>145</v>
      </c>
      <c r="AH242" s="95" t="s">
        <v>146</v>
      </c>
      <c r="AI242" s="96" t="s">
        <v>147</v>
      </c>
      <c r="AJ242" s="218"/>
      <c r="AK242" s="273">
        <f>IF(C242="",0,VLOOKUP(AG242,'Look Ups'!$F$3:$G$6,2,0)*VLOOKUP(AH242,'Look Ups'!$I$3:$J$5,2,0)*VLOOKUP(AI242,'Look Ups'!$L$3:$M$7,2,0)*IF(AJ242="",1,VLOOKUP(AJ242,'Look Ups'!$O$3:$P$4,2,0)))</f>
        <v>1</v>
      </c>
      <c r="AL242" s="83">
        <v>9.16</v>
      </c>
      <c r="AM242" s="91">
        <v>8.89</v>
      </c>
      <c r="AN242" s="91">
        <v>3.26</v>
      </c>
      <c r="AO242" s="91">
        <v>0.73</v>
      </c>
      <c r="AP242" s="91">
        <v>0.72</v>
      </c>
      <c r="AQ242" s="91">
        <v>8.67</v>
      </c>
      <c r="AR242" s="91">
        <v>7.0000000000000007E-2</v>
      </c>
      <c r="AS242" s="91">
        <v>3.46</v>
      </c>
      <c r="AT242" s="91">
        <v>0.05</v>
      </c>
      <c r="AU242" s="91">
        <v>0.4</v>
      </c>
      <c r="AV242" s="91" t="s">
        <v>148</v>
      </c>
      <c r="AW242" s="97">
        <v>0</v>
      </c>
      <c r="AX242" s="256">
        <f t="shared" si="66"/>
        <v>8.7200000000000006</v>
      </c>
      <c r="AY242" s="256">
        <f t="shared" si="67"/>
        <v>1.3005</v>
      </c>
      <c r="AZ242" s="275">
        <f>IF(C242="",0,(0.5*(_ML1*LPM)+0.5*(_ML1*HB)+0.66*(P*PR)+0.66*(_ML2*RDM)+0.66*(E*ER))*VLOOKUP(BATT,'Look Ups'!$U$3:$V$4,2,0))</f>
        <v>23.013462000000001</v>
      </c>
      <c r="BA242" s="98"/>
      <c r="BB242" s="99"/>
      <c r="BC242" s="83">
        <v>7.98</v>
      </c>
      <c r="BD242" s="91">
        <v>2.48</v>
      </c>
      <c r="BE242" s="91">
        <v>2.78</v>
      </c>
      <c r="BF242" s="91">
        <v>0.06</v>
      </c>
      <c r="BG242" s="91">
        <v>7.1</v>
      </c>
      <c r="BH242" s="91"/>
      <c r="BI242" s="91"/>
      <c r="BJ242" s="91">
        <v>0.08</v>
      </c>
      <c r="BK242" s="91">
        <v>-0.02</v>
      </c>
      <c r="BL242" s="97">
        <v>0</v>
      </c>
      <c r="BM242" s="275">
        <f t="shared" si="68"/>
        <v>10.274832</v>
      </c>
      <c r="BN242" s="319"/>
      <c r="BO242" s="320"/>
      <c r="BP242" s="321"/>
      <c r="BQ242" s="321"/>
      <c r="BR242" s="320"/>
      <c r="BS242" s="321"/>
      <c r="BT242" s="321"/>
      <c r="BU242" s="280">
        <f t="shared" si="69"/>
        <v>0</v>
      </c>
      <c r="BV242" s="322"/>
      <c r="BW242" s="320"/>
      <c r="BX242" s="320"/>
      <c r="BY242" s="320"/>
      <c r="BZ242" s="320"/>
      <c r="CA242" s="320"/>
      <c r="CB242" s="320"/>
      <c r="CC242" s="275">
        <f t="shared" si="70"/>
        <v>0</v>
      </c>
      <c r="CD242" s="98">
        <v>7.21</v>
      </c>
      <c r="CE242" s="91">
        <v>10.3</v>
      </c>
      <c r="CF242" s="91">
        <v>9.52</v>
      </c>
      <c r="CG242" s="91">
        <v>5.67</v>
      </c>
      <c r="CH242" s="266">
        <f t="shared" si="71"/>
        <v>78.640776699029118</v>
      </c>
      <c r="CI242" s="320"/>
      <c r="CJ242" s="280">
        <f t="shared" si="72"/>
        <v>49.368316666666665</v>
      </c>
      <c r="CK242" s="83">
        <v>5.8</v>
      </c>
      <c r="CL242" s="91">
        <v>9.23</v>
      </c>
      <c r="CM242" s="91">
        <v>7.68</v>
      </c>
      <c r="CN242" s="91">
        <v>2.9319999999999999</v>
      </c>
      <c r="CO242" s="256">
        <f t="shared" si="73"/>
        <v>50.551724137931032</v>
      </c>
      <c r="CP242" s="320"/>
      <c r="CQ242" s="256">
        <f t="shared" si="74"/>
        <v>24.699873333333333</v>
      </c>
      <c r="CR242" s="256" t="str">
        <f>IF(CO242&lt;'Look Ups'!$AC$4,"Yes","No")</f>
        <v>Yes</v>
      </c>
      <c r="CS242" s="293">
        <f>IF(CR242="Yes",MIN(150,('Look Ups'!$AC$4-PSCR)/('Look Ups'!$AC$4-'Look Ups'!$AC$3)*100),0)</f>
        <v>28.965517241379356</v>
      </c>
      <c r="CT242" s="83"/>
      <c r="CU242" s="91"/>
      <c r="CV242" s="91"/>
      <c r="CW242" s="91"/>
      <c r="CX242" s="256" t="str">
        <f t="shared" si="75"/>
        <v/>
      </c>
      <c r="CY242" s="293">
        <f>IF(PUSCR&lt;'Look Ups'!$AC$4,MIN(150,('Look Ups'!$AC$4-PUSCR)/('Look Ups'!$AC$4-'Look Ups'!$AC$3)*100),0)</f>
        <v>0</v>
      </c>
      <c r="CZ242" s="275">
        <f>IF(PUSCR&lt;'Look Ups'!$AC$4,USCRF*(USCRL1+USCRL2)/4+(USCRMG-USCRF/2)*(USCRL1+USCRL2)/3,0)</f>
        <v>0</v>
      </c>
      <c r="DA242" s="294">
        <f t="shared" si="76"/>
        <v>1</v>
      </c>
      <c r="DB242" s="256">
        <f t="shared" si="77"/>
        <v>24.313962</v>
      </c>
      <c r="DC242" s="256">
        <f t="shared" si="78"/>
        <v>1</v>
      </c>
      <c r="DD242" s="256">
        <f t="shared" si="79"/>
        <v>10.274832</v>
      </c>
      <c r="DE242" s="256">
        <f>IF(AZ242&gt;0,'Look Ups'!$S$3,0)</f>
        <v>1</v>
      </c>
      <c r="DF242" s="256">
        <f t="shared" si="80"/>
        <v>0</v>
      </c>
      <c r="DG242" s="256">
        <f t="shared" si="81"/>
        <v>0</v>
      </c>
      <c r="DH242" s="256">
        <f t="shared" si="82"/>
        <v>0</v>
      </c>
      <c r="DI242" s="280">
        <f t="shared" si="83"/>
        <v>0</v>
      </c>
      <c r="DJ242" s="295" t="str">
        <f t="shared" si="84"/>
        <v>valid</v>
      </c>
      <c r="DK242" s="266" t="str">
        <f t="shared" si="85"/>
        <v>valid</v>
      </c>
      <c r="DL242" s="267" t="str">
        <f t="shared" si="86"/>
        <v>MGScrSP</v>
      </c>
      <c r="DM242" s="294">
        <f t="shared" si="87"/>
        <v>34.588794</v>
      </c>
      <c r="DN242" s="256">
        <f>IF(MSASP&gt;0,'Look Ups'!$AI$4*(ZVAL*MSASP-RSAG),0)</f>
        <v>11.728045400000001</v>
      </c>
      <c r="DO242" s="256">
        <f>IF(AND(MSASC&gt;0,(MSASC&gt;=0.36*RSAM)),('Look Ups'!$AI$3*(ZVAL*MSASC-RSAG)),(0))</f>
        <v>5.0487644666666665</v>
      </c>
      <c r="DP242" s="256">
        <f>IF(MSASP&gt;0,'Look Ups'!$AI$5*(ZVAL*MSASP-RSAG),0)</f>
        <v>10.946175706666669</v>
      </c>
      <c r="DQ242" s="256">
        <f>IF(MSASC&gt;0,'Look Ups'!$AI$6*(MSASC-RSAG),0)</f>
        <v>1.0097528933333333</v>
      </c>
      <c r="DR242" s="280">
        <f>'Look Ups'!$AI$7*MAX(IF(MSAUSC&gt;0,EUSC/100*(MSAUSC-RSAG),0),IF(CR242="Yes",ELSC/100*(MSASC-RSAG),0))</f>
        <v>1.0445719586206912</v>
      </c>
      <c r="DS242" s="280">
        <f t="shared" si="88"/>
        <v>8.75302632</v>
      </c>
      <c r="DT242" s="296">
        <f t="shared" si="89"/>
        <v>47.589294558620701</v>
      </c>
      <c r="DU242" s="14"/>
    </row>
    <row r="243" spans="1:125" ht="15.6" customHeight="1" x14ac:dyDescent="0.3">
      <c r="A243" s="4"/>
      <c r="B243" s="365"/>
      <c r="C243" s="369" t="s">
        <v>836</v>
      </c>
      <c r="D243" s="370" t="s">
        <v>837</v>
      </c>
      <c r="E243" s="371" t="s">
        <v>838</v>
      </c>
      <c r="F243" s="252">
        <f t="shared" ca="1" si="60"/>
        <v>0.78600000000000003</v>
      </c>
      <c r="G243" s="252" t="str">
        <f ca="1">IF(OR(FLSCR="ERROR",FLSPI="ERROR"),"No",IF(TODAY()-'Look Ups'!$D$4*365&gt;I243,"WP Applied","Yes"))</f>
        <v>WP Applied</v>
      </c>
      <c r="H243" s="253" t="str">
        <f t="shared" si="61"/>
        <v>Main-Genoa-Spinnaker</v>
      </c>
      <c r="I243" s="1">
        <v>38045</v>
      </c>
      <c r="J243" s="1"/>
      <c r="K243" s="87" t="s">
        <v>686</v>
      </c>
      <c r="L243" s="87" t="s">
        <v>641</v>
      </c>
      <c r="M243" s="207"/>
      <c r="N243" s="88" t="s">
        <v>165</v>
      </c>
      <c r="O243" s="88"/>
      <c r="P243" s="89">
        <v>7</v>
      </c>
      <c r="Q243" s="90">
        <v>12.18</v>
      </c>
      <c r="R243" s="87"/>
      <c r="S243" s="256">
        <f t="shared" si="62"/>
        <v>0.30449999999999999</v>
      </c>
      <c r="T243" s="117">
        <v>0.13</v>
      </c>
      <c r="U243" s="117">
        <v>0</v>
      </c>
      <c r="V243" s="258">
        <f t="shared" si="63"/>
        <v>12.049999999999999</v>
      </c>
      <c r="W243" s="259">
        <f>IF(RL&gt;0,IF(RL&gt;'Look Ups'!Y$7,'Look Ups'!Y$8,('Look Ups'!Y$3*RL^3+'Look Ups'!Y$4*RL^2+'Look Ups'!Y$5*RL+'Look Ups'!Y$6)),0)</f>
        <v>0.3</v>
      </c>
      <c r="X243" s="92">
        <v>4975</v>
      </c>
      <c r="Y243" s="263">
        <f ca="1">IF(WDATE&lt;(TODAY()-'Look Ups'!$D$4*365),-WM*'Look Ups'!$D$5/100,0)</f>
        <v>-746.25</v>
      </c>
      <c r="Z243" s="103"/>
      <c r="AA243" s="109"/>
      <c r="AB243" s="109"/>
      <c r="AC243" s="265">
        <f>WCD+NC*'Look Ups'!$AF$3</f>
        <v>0</v>
      </c>
      <c r="AD243" s="265">
        <f ca="1">IF(RL&lt;'Look Ups'!AM$3,'Look Ups'!AM$4,IF(RL&gt;'Look Ups'!AM$5,'Look Ups'!AM$6,(RL-'Look Ups'!AM$3)/('Look Ups'!AM$5-'Look Ups'!AM$3)*('Look Ups'!AM$6-'Look Ups'!AM$4)+'Look Ups'!AM$4))/100*WS</f>
        <v>445.94090909090914</v>
      </c>
      <c r="AE243" s="269">
        <f t="shared" ca="1" si="64"/>
        <v>4228.75</v>
      </c>
      <c r="AF243" s="267">
        <f t="shared" ca="1" si="65"/>
        <v>4228.75</v>
      </c>
      <c r="AG243" s="94" t="s">
        <v>145</v>
      </c>
      <c r="AH243" s="95" t="s">
        <v>146</v>
      </c>
      <c r="AI243" s="96" t="s">
        <v>177</v>
      </c>
      <c r="AJ243" s="218"/>
      <c r="AK243" s="273">
        <f>IF(C243="",0,VLOOKUP(AG243,'Look Ups'!$F$3:$G$6,2,0)*VLOOKUP(AH243,'Look Ups'!$I$3:$J$5,2,0)*VLOOKUP(AI243,'Look Ups'!$L$3:$M$7,2,0)*IF(AJ243="",1,VLOOKUP(AJ243,'Look Ups'!$O$3:$P$4,2,0)))</f>
        <v>0.99</v>
      </c>
      <c r="AL243" s="83">
        <v>12.11</v>
      </c>
      <c r="AM243" s="91">
        <v>12.06</v>
      </c>
      <c r="AN243" s="91">
        <v>3.66</v>
      </c>
      <c r="AO243" s="91">
        <v>0.17</v>
      </c>
      <c r="AP243" s="91">
        <v>0.43</v>
      </c>
      <c r="AQ243" s="91">
        <v>11.54</v>
      </c>
      <c r="AR243" s="91">
        <v>0</v>
      </c>
      <c r="AS243" s="91">
        <v>3.83</v>
      </c>
      <c r="AT243" s="91">
        <v>0.03</v>
      </c>
      <c r="AU243" s="91"/>
      <c r="AV243" s="91" t="s">
        <v>148</v>
      </c>
      <c r="AW243" s="97">
        <v>0</v>
      </c>
      <c r="AX243" s="256">
        <f t="shared" si="66"/>
        <v>11.569999999999999</v>
      </c>
      <c r="AY243" s="256">
        <f t="shared" si="67"/>
        <v>0</v>
      </c>
      <c r="AZ243" s="275">
        <f>IF(C243="",0,(0.5*(_ML1*LPM)+0.5*(_ML1*HB)+0.66*(P*PR)+0.66*(_ML2*RDM)+0.66*(E*ER))*VLOOKUP(BATT,'Look Ups'!$U$3:$V$4,2,0))</f>
        <v>26.689112000000002</v>
      </c>
      <c r="BA243" s="98"/>
      <c r="BB243" s="99"/>
      <c r="BC243" s="83">
        <v>14.26</v>
      </c>
      <c r="BD243" s="91">
        <v>5.93</v>
      </c>
      <c r="BE243" s="91">
        <v>6.68</v>
      </c>
      <c r="BF243" s="91">
        <v>0.18</v>
      </c>
      <c r="BG243" s="91">
        <v>12.48</v>
      </c>
      <c r="BH243" s="91"/>
      <c r="BI243" s="91"/>
      <c r="BJ243" s="91">
        <v>-0.42</v>
      </c>
      <c r="BK243" s="91">
        <v>0</v>
      </c>
      <c r="BL243" s="97"/>
      <c r="BM243" s="275">
        <f t="shared" si="68"/>
        <v>39.615027999999995</v>
      </c>
      <c r="BN243" s="319"/>
      <c r="BO243" s="320"/>
      <c r="BP243" s="321"/>
      <c r="BQ243" s="321"/>
      <c r="BR243" s="320"/>
      <c r="BS243" s="321"/>
      <c r="BT243" s="321"/>
      <c r="BU243" s="280">
        <f t="shared" si="69"/>
        <v>0</v>
      </c>
      <c r="BV243" s="322"/>
      <c r="BW243" s="320"/>
      <c r="BX243" s="320"/>
      <c r="BY243" s="320"/>
      <c r="BZ243" s="320"/>
      <c r="CA243" s="320"/>
      <c r="CB243" s="320"/>
      <c r="CC243" s="275">
        <f t="shared" si="70"/>
        <v>0</v>
      </c>
      <c r="CD243" s="98">
        <v>11.79</v>
      </c>
      <c r="CE243" s="91">
        <v>15.86</v>
      </c>
      <c r="CF243" s="91">
        <v>15.8</v>
      </c>
      <c r="CG243" s="91">
        <v>8.8800000000000008</v>
      </c>
      <c r="CH243" s="266">
        <f t="shared" si="71"/>
        <v>75.318066157760825</v>
      </c>
      <c r="CI243" s="320"/>
      <c r="CJ243" s="280">
        <f t="shared" si="72"/>
        <v>124.81955000000001</v>
      </c>
      <c r="CK243" s="83"/>
      <c r="CL243" s="91"/>
      <c r="CM243" s="91"/>
      <c r="CN243" s="91"/>
      <c r="CO243" s="256" t="str">
        <f t="shared" si="73"/>
        <v/>
      </c>
      <c r="CP243" s="320"/>
      <c r="CQ243" s="256">
        <f t="shared" si="74"/>
        <v>0</v>
      </c>
      <c r="CR243" s="256" t="str">
        <f>IF(CO243&lt;'Look Ups'!$AC$4,"Yes","No")</f>
        <v>No</v>
      </c>
      <c r="CS243" s="293">
        <f>IF(CR243="Yes",MIN(150,('Look Ups'!$AC$4-PSCR)/('Look Ups'!$AC$4-'Look Ups'!$AC$3)*100),0)</f>
        <v>0</v>
      </c>
      <c r="CT243" s="83"/>
      <c r="CU243" s="91"/>
      <c r="CV243" s="91"/>
      <c r="CW243" s="91"/>
      <c r="CX243" s="256" t="str">
        <f t="shared" si="75"/>
        <v/>
      </c>
      <c r="CY243" s="293">
        <f>IF(PUSCR&lt;'Look Ups'!$AC$4,MIN(150,('Look Ups'!$AC$4-PUSCR)/('Look Ups'!$AC$4-'Look Ups'!$AC$3)*100),0)</f>
        <v>0</v>
      </c>
      <c r="CZ243" s="275">
        <f>IF(PUSCR&lt;'Look Ups'!$AC$4,USCRF*(USCRL1+USCRL2)/4+(USCRMG-USCRF/2)*(USCRL1+USCRL2)/3,0)</f>
        <v>0</v>
      </c>
      <c r="DA243" s="294">
        <f t="shared" si="76"/>
        <v>1</v>
      </c>
      <c r="DB243" s="256">
        <f t="shared" si="77"/>
        <v>26.689112000000002</v>
      </c>
      <c r="DC243" s="256">
        <f t="shared" si="78"/>
        <v>1</v>
      </c>
      <c r="DD243" s="256">
        <f t="shared" si="79"/>
        <v>39.615027999999995</v>
      </c>
      <c r="DE243" s="256">
        <f>IF(AZ243&gt;0,'Look Ups'!$S$3,0)</f>
        <v>1</v>
      </c>
      <c r="DF243" s="256">
        <f t="shared" si="80"/>
        <v>0</v>
      </c>
      <c r="DG243" s="256">
        <f t="shared" si="81"/>
        <v>0</v>
      </c>
      <c r="DH243" s="256">
        <f t="shared" si="82"/>
        <v>0</v>
      </c>
      <c r="DI243" s="280">
        <f t="shared" si="83"/>
        <v>0</v>
      </c>
      <c r="DJ243" s="295" t="str">
        <f t="shared" si="84"/>
        <v>-</v>
      </c>
      <c r="DK243" s="266" t="str">
        <f t="shared" si="85"/>
        <v>valid</v>
      </c>
      <c r="DL243" s="267" t="str">
        <f t="shared" si="86"/>
        <v>MGSP</v>
      </c>
      <c r="DM243" s="294">
        <f t="shared" si="87"/>
        <v>66.30413999999999</v>
      </c>
      <c r="DN243" s="256">
        <f>IF(MSASP&gt;0,'Look Ups'!$AI$4*(ZVAL*MSASP-RSAG),0)</f>
        <v>25.561356600000003</v>
      </c>
      <c r="DO243" s="256">
        <f>IF(AND(MSASC&gt;0,(MSASC&gt;=0.36*RSAM)),('Look Ups'!$AI$3*(ZVAL*MSASC-RSAG)),(0))</f>
        <v>0</v>
      </c>
      <c r="DP243" s="256">
        <f>IF(MSASP&gt;0,'Look Ups'!$AI$5*(ZVAL*MSASP-RSAG),0)</f>
        <v>23.857266160000005</v>
      </c>
      <c r="DQ243" s="256">
        <f>IF(MSASC&gt;0,'Look Ups'!$AI$6*(MSASC-RSAG),0)</f>
        <v>0</v>
      </c>
      <c r="DR243" s="280">
        <f>'Look Ups'!$AI$7*MAX(IF(MSAUSC&gt;0,EUSC/100*(MSAUSC-RSAG),0),IF(CR243="Yes",ELSC/100*(MSASC-RSAG),0))</f>
        <v>0</v>
      </c>
      <c r="DS243" s="280">
        <f t="shared" si="88"/>
        <v>9.6080803200000009</v>
      </c>
      <c r="DT243" s="296">
        <f t="shared" si="89"/>
        <v>91.8654966</v>
      </c>
      <c r="DU243" s="14"/>
    </row>
    <row r="244" spans="1:125" ht="15.6" customHeight="1" x14ac:dyDescent="0.3">
      <c r="A244" s="4"/>
      <c r="B244" s="365"/>
      <c r="C244" s="369" t="s">
        <v>839</v>
      </c>
      <c r="D244" s="370" t="s">
        <v>840</v>
      </c>
      <c r="E244" s="371" t="s">
        <v>841</v>
      </c>
      <c r="F244" s="252">
        <f t="shared" ca="1" si="60"/>
        <v>0.82699999999999996</v>
      </c>
      <c r="G244" s="252" t="str">
        <f ca="1">IF(OR(FLSCR="ERROR",FLSPI="ERROR"),"No",IF(TODAY()-'Look Ups'!$D$4*365&gt;I244,"WP Applied","Yes"))</f>
        <v>WP Applied</v>
      </c>
      <c r="H244" s="253" t="str">
        <f t="shared" si="61"/>
        <v>Main-Genoa-Spinnaker</v>
      </c>
      <c r="I244" s="1">
        <v>40082</v>
      </c>
      <c r="J244" s="1">
        <v>40085</v>
      </c>
      <c r="K244" s="87" t="s">
        <v>842</v>
      </c>
      <c r="L244" s="87" t="s">
        <v>241</v>
      </c>
      <c r="M244" s="207"/>
      <c r="N244" s="88" t="s">
        <v>143</v>
      </c>
      <c r="O244" s="88" t="s">
        <v>154</v>
      </c>
      <c r="P244" s="89"/>
      <c r="Q244" s="90">
        <v>7.84</v>
      </c>
      <c r="R244" s="87"/>
      <c r="S244" s="256">
        <f t="shared" si="62"/>
        <v>0.19600000000000001</v>
      </c>
      <c r="T244" s="117">
        <v>0.04</v>
      </c>
      <c r="U244" s="117">
        <v>0.28000000000000003</v>
      </c>
      <c r="V244" s="258">
        <f t="shared" si="63"/>
        <v>7.52</v>
      </c>
      <c r="W244" s="259">
        <f>IF(RL&gt;0,IF(RL&gt;'Look Ups'!Y$7,'Look Ups'!Y$8,('Look Ups'!Y$3*RL^3+'Look Ups'!Y$4*RL^2+'Look Ups'!Y$5*RL+'Look Ups'!Y$6)),0)</f>
        <v>0.29200298726400004</v>
      </c>
      <c r="X244" s="92">
        <v>1340</v>
      </c>
      <c r="Y244" s="263">
        <f ca="1">IF(WDATE&lt;(TODAY()-'Look Ups'!$D$4*365),-WM*'Look Ups'!$D$5/100,0)</f>
        <v>-201</v>
      </c>
      <c r="Z244" s="103"/>
      <c r="AA244" s="109"/>
      <c r="AB244" s="109"/>
      <c r="AC244" s="265">
        <f>WCD+NC*'Look Ups'!$AF$3</f>
        <v>0</v>
      </c>
      <c r="AD244" s="265">
        <f ca="1">IF(RL&lt;'Look Ups'!AM$3,'Look Ups'!AM$4,IF(RL&gt;'Look Ups'!AM$5,'Look Ups'!AM$6,(RL-'Look Ups'!AM$3)/('Look Ups'!AM$5-'Look Ups'!AM$3)*('Look Ups'!AM$6-'Look Ups'!AM$4)+'Look Ups'!AM$4))/100*WS</f>
        <v>307.73709090909091</v>
      </c>
      <c r="AE244" s="269">
        <f t="shared" ca="1" si="64"/>
        <v>1139</v>
      </c>
      <c r="AF244" s="267">
        <f t="shared" ca="1" si="65"/>
        <v>1139</v>
      </c>
      <c r="AG244" s="94" t="s">
        <v>145</v>
      </c>
      <c r="AH244" s="95" t="s">
        <v>146</v>
      </c>
      <c r="AI244" s="96" t="s">
        <v>147</v>
      </c>
      <c r="AJ244" s="218"/>
      <c r="AK244" s="273">
        <f>IF(C244="",0,VLOOKUP(AG244,'Look Ups'!$F$3:$G$6,2,0)*VLOOKUP(AH244,'Look Ups'!$I$3:$J$5,2,0)*VLOOKUP(AI244,'Look Ups'!$L$3:$M$7,2,0)*IF(AJ244="",1,VLOOKUP(AJ244,'Look Ups'!$O$3:$P$4,2,0)))</f>
        <v>1</v>
      </c>
      <c r="AL244" s="83">
        <v>10.119999999999999</v>
      </c>
      <c r="AM244" s="91">
        <v>9.8000000000000007</v>
      </c>
      <c r="AN244" s="91">
        <v>3.52</v>
      </c>
      <c r="AO244" s="91">
        <v>1.1299999999999999</v>
      </c>
      <c r="AP244" s="91">
        <v>0.57000000000000006</v>
      </c>
      <c r="AQ244" s="91">
        <v>9.66</v>
      </c>
      <c r="AR244" s="91">
        <v>0.13</v>
      </c>
      <c r="AS244" s="91">
        <v>3.6</v>
      </c>
      <c r="AT244" s="91">
        <v>0.03</v>
      </c>
      <c r="AU244" s="91">
        <v>0.40300000000000002</v>
      </c>
      <c r="AV244" s="91" t="s">
        <v>148</v>
      </c>
      <c r="AW244" s="97"/>
      <c r="AX244" s="256">
        <f t="shared" si="66"/>
        <v>9.69</v>
      </c>
      <c r="AY244" s="256">
        <f t="shared" si="67"/>
        <v>1.4598675000000001</v>
      </c>
      <c r="AZ244" s="275">
        <f>IF(C244="",0,(0.5*(_ML1*LPM)+0.5*(_ML1*HB)+0.66*(P*PR)+0.66*(_ML2*RDM)+0.66*(E*ER))*VLOOKUP(BATT,'Look Ups'!$U$3:$V$4,2,0))</f>
        <v>28.115867999999999</v>
      </c>
      <c r="BA244" s="98"/>
      <c r="BB244" s="99"/>
      <c r="BC244" s="83">
        <v>8.6300000000000008</v>
      </c>
      <c r="BD244" s="91">
        <v>2.66</v>
      </c>
      <c r="BE244" s="91">
        <v>2.96</v>
      </c>
      <c r="BF244" s="91">
        <v>0.06</v>
      </c>
      <c r="BG244" s="91">
        <v>8</v>
      </c>
      <c r="BH244" s="91"/>
      <c r="BI244" s="91"/>
      <c r="BJ244" s="91">
        <v>-0.18</v>
      </c>
      <c r="BK244" s="91">
        <v>0.06</v>
      </c>
      <c r="BL244" s="97"/>
      <c r="BM244" s="275">
        <f t="shared" si="68"/>
        <v>10.986464000000003</v>
      </c>
      <c r="BN244" s="319"/>
      <c r="BO244" s="320"/>
      <c r="BP244" s="321"/>
      <c r="BQ244" s="321"/>
      <c r="BR244" s="320"/>
      <c r="BS244" s="321"/>
      <c r="BT244" s="321"/>
      <c r="BU244" s="280">
        <f t="shared" si="69"/>
        <v>0</v>
      </c>
      <c r="BV244" s="322"/>
      <c r="BW244" s="320"/>
      <c r="BX244" s="320"/>
      <c r="BY244" s="320"/>
      <c r="BZ244" s="320"/>
      <c r="CA244" s="320"/>
      <c r="CB244" s="320"/>
      <c r="CC244" s="275">
        <f t="shared" si="70"/>
        <v>0</v>
      </c>
      <c r="CD244" s="98">
        <v>6.56</v>
      </c>
      <c r="CE244" s="91">
        <v>10.4</v>
      </c>
      <c r="CF244" s="91">
        <v>9.25</v>
      </c>
      <c r="CG244" s="91">
        <v>5.85</v>
      </c>
      <c r="CH244" s="266">
        <f t="shared" si="71"/>
        <v>89.176829268292678</v>
      </c>
      <c r="CI244" s="320"/>
      <c r="CJ244" s="280">
        <f t="shared" si="72"/>
        <v>49.0595</v>
      </c>
      <c r="CK244" s="83"/>
      <c r="CL244" s="91"/>
      <c r="CM244" s="91"/>
      <c r="CN244" s="91"/>
      <c r="CO244" s="256" t="str">
        <f t="shared" si="73"/>
        <v/>
      </c>
      <c r="CP244" s="320"/>
      <c r="CQ244" s="256">
        <f t="shared" si="74"/>
        <v>0</v>
      </c>
      <c r="CR244" s="256" t="str">
        <f>IF(CO244&lt;'Look Ups'!$AC$4,"Yes","No")</f>
        <v>No</v>
      </c>
      <c r="CS244" s="293">
        <f>IF(CR244="Yes",MIN(150,('Look Ups'!$AC$4-PSCR)/('Look Ups'!$AC$4-'Look Ups'!$AC$3)*100),0)</f>
        <v>0</v>
      </c>
      <c r="CT244" s="83"/>
      <c r="CU244" s="91"/>
      <c r="CV244" s="91"/>
      <c r="CW244" s="91"/>
      <c r="CX244" s="256" t="str">
        <f t="shared" si="75"/>
        <v/>
      </c>
      <c r="CY244" s="293">
        <f>IF(PUSCR&lt;'Look Ups'!$AC$4,MIN(150,('Look Ups'!$AC$4-PUSCR)/('Look Ups'!$AC$4-'Look Ups'!$AC$3)*100),0)</f>
        <v>0</v>
      </c>
      <c r="CZ244" s="275">
        <f>IF(PUSCR&lt;'Look Ups'!$AC$4,USCRF*(USCRL1+USCRL2)/4+(USCRMG-USCRF/2)*(USCRL1+USCRL2)/3,0)</f>
        <v>0</v>
      </c>
      <c r="DA244" s="294">
        <f t="shared" si="76"/>
        <v>1</v>
      </c>
      <c r="DB244" s="256">
        <f t="shared" si="77"/>
        <v>29.5757355</v>
      </c>
      <c r="DC244" s="256">
        <f t="shared" si="78"/>
        <v>1</v>
      </c>
      <c r="DD244" s="256">
        <f t="shared" si="79"/>
        <v>10.986464000000003</v>
      </c>
      <c r="DE244" s="256">
        <f>IF(AZ244&gt;0,'Look Ups'!$S$3,0)</f>
        <v>1</v>
      </c>
      <c r="DF244" s="256">
        <f t="shared" si="80"/>
        <v>0</v>
      </c>
      <c r="DG244" s="256">
        <f t="shared" si="81"/>
        <v>0</v>
      </c>
      <c r="DH244" s="256">
        <f t="shared" si="82"/>
        <v>0</v>
      </c>
      <c r="DI244" s="280">
        <f t="shared" si="83"/>
        <v>0</v>
      </c>
      <c r="DJ244" s="295" t="str">
        <f t="shared" si="84"/>
        <v>-</v>
      </c>
      <c r="DK244" s="266" t="str">
        <f t="shared" si="85"/>
        <v>valid</v>
      </c>
      <c r="DL244" s="267" t="str">
        <f t="shared" si="86"/>
        <v>MGSP</v>
      </c>
      <c r="DM244" s="294">
        <f t="shared" si="87"/>
        <v>40.562199500000006</v>
      </c>
      <c r="DN244" s="256">
        <f>IF(MSASP&gt;0,'Look Ups'!$AI$4*(ZVAL*MSASP-RSAG),0)</f>
        <v>11.421910799999997</v>
      </c>
      <c r="DO244" s="256">
        <f>IF(AND(MSASC&gt;0,(MSASC&gt;=0.36*RSAM)),('Look Ups'!$AI$3*(ZVAL*MSASC-RSAG)),(0))</f>
        <v>0</v>
      </c>
      <c r="DP244" s="256">
        <f>IF(MSASP&gt;0,'Look Ups'!$AI$5*(ZVAL*MSASP-RSAG),0)</f>
        <v>10.66045008</v>
      </c>
      <c r="DQ244" s="256">
        <f>IF(MSASC&gt;0,'Look Ups'!$AI$6*(MSASC-RSAG),0)</f>
        <v>0</v>
      </c>
      <c r="DR244" s="280">
        <f>'Look Ups'!$AI$7*MAX(IF(MSAUSC&gt;0,EUSC/100*(MSAUSC-RSAG),0),IF(CR244="Yes",ELSC/100*(MSASC-RSAG),0))</f>
        <v>0</v>
      </c>
      <c r="DS244" s="280">
        <f t="shared" si="88"/>
        <v>10.64726478</v>
      </c>
      <c r="DT244" s="296">
        <f t="shared" si="89"/>
        <v>51.984110300000005</v>
      </c>
      <c r="DU244" s="14"/>
    </row>
    <row r="245" spans="1:125" ht="15.6" customHeight="1" x14ac:dyDescent="0.3">
      <c r="A245" s="4"/>
      <c r="B245" s="365"/>
      <c r="C245" s="369" t="s">
        <v>843</v>
      </c>
      <c r="D245" s="370" t="s">
        <v>844</v>
      </c>
      <c r="E245" s="371" t="s">
        <v>845</v>
      </c>
      <c r="F245" s="252">
        <f t="shared" ca="1" si="60"/>
        <v>0.872</v>
      </c>
      <c r="G245" s="252" t="str">
        <f ca="1">IF(OR(FLSCR="ERROR",FLSPI="ERROR"),"No",IF(TODAY()-'Look Ups'!$D$4*365&gt;I245,"WP Applied","Yes"))</f>
        <v>Yes</v>
      </c>
      <c r="H245" s="253" t="str">
        <f t="shared" si="61"/>
        <v>Main-Genoa-Spinnaker</v>
      </c>
      <c r="I245" s="1">
        <v>42201</v>
      </c>
      <c r="J245" s="1">
        <v>42201</v>
      </c>
      <c r="K245" s="87" t="s">
        <v>846</v>
      </c>
      <c r="L245" s="87" t="s">
        <v>159</v>
      </c>
      <c r="M245" s="207"/>
      <c r="N245" s="88" t="s">
        <v>143</v>
      </c>
      <c r="O245" s="88"/>
      <c r="P245" s="89"/>
      <c r="Q245" s="90">
        <v>13.37</v>
      </c>
      <c r="R245" s="87"/>
      <c r="S245" s="256">
        <f t="shared" si="62"/>
        <v>0.33424999999999999</v>
      </c>
      <c r="T245" s="117">
        <v>0.33</v>
      </c>
      <c r="U245" s="117">
        <v>0</v>
      </c>
      <c r="V245" s="258">
        <f t="shared" si="63"/>
        <v>13.04</v>
      </c>
      <c r="W245" s="259">
        <f>IF(RL&gt;0,IF(RL&gt;'Look Ups'!Y$7,'Look Ups'!Y$8,('Look Ups'!Y$3*RL^3+'Look Ups'!Y$4*RL^2+'Look Ups'!Y$5*RL+'Look Ups'!Y$6)),0)</f>
        <v>0.3</v>
      </c>
      <c r="X245" s="92">
        <v>6330</v>
      </c>
      <c r="Y245" s="263">
        <f ca="1">IF(WDATE&lt;(TODAY()-'Look Ups'!$D$4*365),-WM*'Look Ups'!$D$5/100,0)</f>
        <v>0</v>
      </c>
      <c r="Z245" s="103"/>
      <c r="AA245" s="109"/>
      <c r="AB245" s="109"/>
      <c r="AC245" s="265">
        <f>WCD+NC*'Look Ups'!$AF$3</f>
        <v>0</v>
      </c>
      <c r="AD245" s="265">
        <f ca="1">IF(RL&lt;'Look Ups'!AM$3,'Look Ups'!AM$4,IF(RL&gt;'Look Ups'!AM$5,'Look Ups'!AM$6,(RL-'Look Ups'!AM$3)/('Look Ups'!AM$5-'Look Ups'!AM$3)*('Look Ups'!AM$6-'Look Ups'!AM$4)+'Look Ups'!AM$4))/100*WS</f>
        <v>633</v>
      </c>
      <c r="AE245" s="269">
        <f t="shared" ca="1" si="64"/>
        <v>6330</v>
      </c>
      <c r="AF245" s="267">
        <f t="shared" ca="1" si="65"/>
        <v>6330</v>
      </c>
      <c r="AG245" s="94" t="s">
        <v>145</v>
      </c>
      <c r="AH245" s="95" t="s">
        <v>146</v>
      </c>
      <c r="AI245" s="96" t="s">
        <v>147</v>
      </c>
      <c r="AJ245" s="218"/>
      <c r="AK245" s="273">
        <f>IF(C245="",0,VLOOKUP(AG245,'Look Ups'!$F$3:$G$6,2,0)*VLOOKUP(AH245,'Look Ups'!$I$3:$J$5,2,0)*VLOOKUP(AI245,'Look Ups'!$L$3:$M$7,2,0)*IF(AJ245="",1,VLOOKUP(AJ245,'Look Ups'!$O$3:$P$4,2,0)))</f>
        <v>1</v>
      </c>
      <c r="AL245" s="83">
        <v>18.36</v>
      </c>
      <c r="AM245" s="91">
        <v>16.27</v>
      </c>
      <c r="AN245" s="91">
        <v>6.15</v>
      </c>
      <c r="AO245" s="91">
        <v>1.43</v>
      </c>
      <c r="AP245" s="91">
        <v>0.64</v>
      </c>
      <c r="AQ245" s="91">
        <v>17.75</v>
      </c>
      <c r="AR245" s="91">
        <v>0.26</v>
      </c>
      <c r="AS245" s="91">
        <v>6.42</v>
      </c>
      <c r="AT245" s="91">
        <v>0.08</v>
      </c>
      <c r="AU245" s="91"/>
      <c r="AV245" s="91" t="s">
        <v>148</v>
      </c>
      <c r="AW245" s="97"/>
      <c r="AX245" s="256">
        <f t="shared" si="66"/>
        <v>17.829999999999998</v>
      </c>
      <c r="AY245" s="256">
        <f t="shared" si="67"/>
        <v>0</v>
      </c>
      <c r="AZ245" s="275">
        <f>IF(C245="",0,(0.5*(_ML1*LPM)+0.5*(_ML1*HB)+0.66*(P*PR)+0.66*(_ML2*RDM)+0.66*(E*ER))*VLOOKUP(BATT,'Look Ups'!$U$3:$V$4,2,0))</f>
        <v>79.841724000000013</v>
      </c>
      <c r="BA245" s="98"/>
      <c r="BB245" s="99"/>
      <c r="BC245" s="83">
        <v>16.46</v>
      </c>
      <c r="BD245" s="91">
        <v>5.98</v>
      </c>
      <c r="BE245" s="91">
        <v>6.43</v>
      </c>
      <c r="BF245" s="91">
        <v>0.1</v>
      </c>
      <c r="BG245" s="91">
        <v>15.3</v>
      </c>
      <c r="BH245" s="91"/>
      <c r="BI245" s="91"/>
      <c r="BJ245" s="91">
        <v>-0.36</v>
      </c>
      <c r="BK245" s="91">
        <v>0.05</v>
      </c>
      <c r="BL245" s="97"/>
      <c r="BM245" s="275">
        <f t="shared" si="68"/>
        <v>46.547680000000007</v>
      </c>
      <c r="BN245" s="319"/>
      <c r="BO245" s="320"/>
      <c r="BP245" s="321"/>
      <c r="BQ245" s="321"/>
      <c r="BR245" s="320"/>
      <c r="BS245" s="321"/>
      <c r="BT245" s="321"/>
      <c r="BU245" s="280">
        <f t="shared" si="69"/>
        <v>0</v>
      </c>
      <c r="BV245" s="322"/>
      <c r="BW245" s="320"/>
      <c r="BX245" s="320"/>
      <c r="BY245" s="320"/>
      <c r="BZ245" s="320"/>
      <c r="CA245" s="320"/>
      <c r="CB245" s="320"/>
      <c r="CC245" s="275">
        <f t="shared" si="70"/>
        <v>0</v>
      </c>
      <c r="CD245" s="98">
        <v>10.95</v>
      </c>
      <c r="CE245" s="91">
        <v>17.829999999999998</v>
      </c>
      <c r="CF245" s="91">
        <v>15.95</v>
      </c>
      <c r="CG245" s="91">
        <v>9</v>
      </c>
      <c r="CH245" s="266">
        <f t="shared" si="71"/>
        <v>82.191780821917817</v>
      </c>
      <c r="CI245" s="320"/>
      <c r="CJ245" s="280">
        <f t="shared" si="72"/>
        <v>132.16424999999998</v>
      </c>
      <c r="CK245" s="83"/>
      <c r="CL245" s="91"/>
      <c r="CM245" s="91"/>
      <c r="CN245" s="91"/>
      <c r="CO245" s="256" t="str">
        <f t="shared" si="73"/>
        <v/>
      </c>
      <c r="CP245" s="320"/>
      <c r="CQ245" s="256">
        <f t="shared" si="74"/>
        <v>0</v>
      </c>
      <c r="CR245" s="256" t="str">
        <f>IF(CO245&lt;'Look Ups'!$AC$4,"Yes","No")</f>
        <v>No</v>
      </c>
      <c r="CS245" s="293">
        <f>IF(CR245="Yes",MIN(150,('Look Ups'!$AC$4-PSCR)/('Look Ups'!$AC$4-'Look Ups'!$AC$3)*100),0)</f>
        <v>0</v>
      </c>
      <c r="CT245" s="83"/>
      <c r="CU245" s="91"/>
      <c r="CV245" s="91"/>
      <c r="CW245" s="91"/>
      <c r="CX245" s="256" t="str">
        <f t="shared" si="75"/>
        <v/>
      </c>
      <c r="CY245" s="293">
        <f>IF(PUSCR&lt;'Look Ups'!$AC$4,MIN(150,('Look Ups'!$AC$4-PUSCR)/('Look Ups'!$AC$4-'Look Ups'!$AC$3)*100),0)</f>
        <v>0</v>
      </c>
      <c r="CZ245" s="275">
        <f>IF(PUSCR&lt;'Look Ups'!$AC$4,USCRF*(USCRL1+USCRL2)/4+(USCRMG-USCRF/2)*(USCRL1+USCRL2)/3,0)</f>
        <v>0</v>
      </c>
      <c r="DA245" s="294">
        <f t="shared" si="76"/>
        <v>1</v>
      </c>
      <c r="DB245" s="256">
        <f t="shared" si="77"/>
        <v>79.841724000000013</v>
      </c>
      <c r="DC245" s="256">
        <f t="shared" si="78"/>
        <v>1</v>
      </c>
      <c r="DD245" s="256">
        <f t="shared" si="79"/>
        <v>46.547680000000007</v>
      </c>
      <c r="DE245" s="256">
        <f>IF(AZ245&gt;0,'Look Ups'!$S$3,0)</f>
        <v>1</v>
      </c>
      <c r="DF245" s="256">
        <f t="shared" si="80"/>
        <v>0</v>
      </c>
      <c r="DG245" s="256">
        <f t="shared" si="81"/>
        <v>0</v>
      </c>
      <c r="DH245" s="256">
        <f t="shared" si="82"/>
        <v>0</v>
      </c>
      <c r="DI245" s="280">
        <f t="shared" si="83"/>
        <v>0</v>
      </c>
      <c r="DJ245" s="295" t="str">
        <f t="shared" si="84"/>
        <v>-</v>
      </c>
      <c r="DK245" s="266" t="str">
        <f t="shared" si="85"/>
        <v>valid</v>
      </c>
      <c r="DL245" s="267" t="str">
        <f t="shared" si="86"/>
        <v>MGSP</v>
      </c>
      <c r="DM245" s="294">
        <f t="shared" si="87"/>
        <v>126.38940400000001</v>
      </c>
      <c r="DN245" s="256">
        <f>IF(MSASP&gt;0,'Look Ups'!$AI$4*(ZVAL*MSASP-RSAG),0)</f>
        <v>25.68497099999999</v>
      </c>
      <c r="DO245" s="256">
        <f>IF(AND(MSASC&gt;0,(MSASC&gt;=0.36*RSAM)),('Look Ups'!$AI$3*(ZVAL*MSASC-RSAG)),(0))</f>
        <v>0</v>
      </c>
      <c r="DP245" s="256">
        <f>IF(MSASP&gt;0,'Look Ups'!$AI$5*(ZVAL*MSASP-RSAG),0)</f>
        <v>23.972639599999994</v>
      </c>
      <c r="DQ245" s="256">
        <f>IF(MSASC&gt;0,'Look Ups'!$AI$6*(MSASC-RSAG),0)</f>
        <v>0</v>
      </c>
      <c r="DR245" s="280">
        <f>'Look Ups'!$AI$7*MAX(IF(MSAUSC&gt;0,EUSC/100*(MSAUSC-RSAG),0),IF(CR245="Yes",ELSC/100*(MSASC-RSAG),0))</f>
        <v>0</v>
      </c>
      <c r="DS245" s="280">
        <f t="shared" si="88"/>
        <v>28.743020640000005</v>
      </c>
      <c r="DT245" s="296">
        <f t="shared" si="89"/>
        <v>152.074375</v>
      </c>
      <c r="DU245" s="14"/>
    </row>
    <row r="246" spans="1:125" ht="15.6" customHeight="1" x14ac:dyDescent="0.3">
      <c r="A246" s="4"/>
      <c r="B246" s="365"/>
      <c r="C246" s="369" t="s">
        <v>847</v>
      </c>
      <c r="D246" s="370" t="s">
        <v>151</v>
      </c>
      <c r="E246" s="371" t="s">
        <v>848</v>
      </c>
      <c r="F246" s="252">
        <f t="shared" ca="1" si="60"/>
        <v>0.95799999999999996</v>
      </c>
      <c r="G246" s="252" t="str">
        <f ca="1">IF(OR(FLSCR="ERROR",FLSPI="ERROR"),"No",IF(TODAY()-'Look Ups'!$D$4*365&gt;I246,"WP Applied","Yes"))</f>
        <v>WP Applied</v>
      </c>
      <c r="H246" s="253" t="str">
        <f t="shared" si="61"/>
        <v>Main-Genoa-Spinnaker</v>
      </c>
      <c r="I246" s="1">
        <v>37829</v>
      </c>
      <c r="J246" s="1"/>
      <c r="K246" s="87" t="s">
        <v>176</v>
      </c>
      <c r="L246" s="87" t="s">
        <v>641</v>
      </c>
      <c r="M246" s="207"/>
      <c r="N246" s="88" t="s">
        <v>271</v>
      </c>
      <c r="O246" s="88"/>
      <c r="P246" s="89">
        <v>5.9</v>
      </c>
      <c r="Q246" s="90">
        <v>8.15</v>
      </c>
      <c r="R246" s="87"/>
      <c r="S246" s="256">
        <f t="shared" si="62"/>
        <v>0.20375000000000001</v>
      </c>
      <c r="T246" s="117">
        <v>0.05</v>
      </c>
      <c r="U246" s="117">
        <v>0</v>
      </c>
      <c r="V246" s="258">
        <f t="shared" si="63"/>
        <v>8.1</v>
      </c>
      <c r="W246" s="259">
        <f>IF(RL&gt;0,IF(RL&gt;'Look Ups'!Y$7,'Look Ups'!Y$8,('Look Ups'!Y$3*RL^3+'Look Ups'!Y$4*RL^2+'Look Ups'!Y$5*RL+'Look Ups'!Y$6)),0)</f>
        <v>0.29413355299999999</v>
      </c>
      <c r="X246" s="92">
        <v>1022</v>
      </c>
      <c r="Y246" s="263">
        <f ca="1">IF(WDATE&lt;(TODAY()-'Look Ups'!$D$4*365),-WM*'Look Ups'!$D$5/100,0)</f>
        <v>-153.30000000000001</v>
      </c>
      <c r="Z246" s="103"/>
      <c r="AA246" s="109"/>
      <c r="AB246" s="109"/>
      <c r="AC246" s="265">
        <f>WCD+NC*'Look Ups'!$AF$3</f>
        <v>0</v>
      </c>
      <c r="AD246" s="265">
        <f ca="1">IF(RL&lt;'Look Ups'!AM$3,'Look Ups'!AM$4,IF(RL&gt;'Look Ups'!AM$5,'Look Ups'!AM$6,(RL-'Look Ups'!AM$3)/('Look Ups'!AM$5-'Look Ups'!AM$3)*('Look Ups'!AM$6-'Look Ups'!AM$4)+'Look Ups'!AM$4))/100*WS</f>
        <v>216.38527272727276</v>
      </c>
      <c r="AE246" s="269">
        <f t="shared" ca="1" si="64"/>
        <v>868.7</v>
      </c>
      <c r="AF246" s="267">
        <f t="shared" ca="1" si="65"/>
        <v>868.7</v>
      </c>
      <c r="AG246" s="94" t="s">
        <v>145</v>
      </c>
      <c r="AH246" s="95" t="s">
        <v>146</v>
      </c>
      <c r="AI246" s="96" t="s">
        <v>147</v>
      </c>
      <c r="AJ246" s="218"/>
      <c r="AK246" s="273">
        <f>IF(C246="",0,VLOOKUP(AG246,'Look Ups'!$F$3:$G$6,2,0)*VLOOKUP(AH246,'Look Ups'!$I$3:$J$5,2,0)*VLOOKUP(AI246,'Look Ups'!$L$3:$M$7,2,0)*IF(AJ246="",1,VLOOKUP(AJ246,'Look Ups'!$O$3:$P$4,2,0)))</f>
        <v>1</v>
      </c>
      <c r="AL246" s="83">
        <v>10.63</v>
      </c>
      <c r="AM246" s="91">
        <v>10.5</v>
      </c>
      <c r="AN246" s="91">
        <v>3.27</v>
      </c>
      <c r="AO246" s="91">
        <v>1.2</v>
      </c>
      <c r="AP246" s="91">
        <v>0.35</v>
      </c>
      <c r="AQ246" s="91">
        <v>10.28</v>
      </c>
      <c r="AR246" s="91">
        <v>0.08</v>
      </c>
      <c r="AS246" s="91">
        <v>3.37</v>
      </c>
      <c r="AT246" s="91"/>
      <c r="AU246" s="91">
        <v>0.60000000000000009</v>
      </c>
      <c r="AV246" s="91" t="s">
        <v>148</v>
      </c>
      <c r="AW246" s="97">
        <v>0</v>
      </c>
      <c r="AX246" s="256">
        <f t="shared" si="66"/>
        <v>10.28</v>
      </c>
      <c r="AY246" s="256">
        <f t="shared" si="67"/>
        <v>2.3130000000000002</v>
      </c>
      <c r="AZ246" s="275">
        <f>IF(C246="",0,(0.5*(_ML1*LPM)+0.5*(_ML1*HB)+0.66*(P*PR)+0.66*(_ML2*RDM)+0.66*(E*ER))*VLOOKUP(BATT,'Look Ups'!$U$3:$V$4,2,0))</f>
        <v>26.726334000000001</v>
      </c>
      <c r="BA246" s="98"/>
      <c r="BB246" s="99"/>
      <c r="BC246" s="83">
        <v>9.1</v>
      </c>
      <c r="BD246" s="91">
        <v>2.57</v>
      </c>
      <c r="BE246" s="91">
        <v>2.86</v>
      </c>
      <c r="BF246" s="91">
        <v>0.08</v>
      </c>
      <c r="BG246" s="91">
        <v>8.1999999999999993</v>
      </c>
      <c r="BH246" s="91"/>
      <c r="BI246" s="91"/>
      <c r="BJ246" s="91">
        <v>0.08</v>
      </c>
      <c r="BK246" s="91">
        <v>0</v>
      </c>
      <c r="BL246" s="97"/>
      <c r="BM246" s="275">
        <f t="shared" si="68"/>
        <v>12.277467999999997</v>
      </c>
      <c r="BN246" s="319"/>
      <c r="BO246" s="320"/>
      <c r="BP246" s="321"/>
      <c r="BQ246" s="321"/>
      <c r="BR246" s="320"/>
      <c r="BS246" s="321"/>
      <c r="BT246" s="321"/>
      <c r="BU246" s="280">
        <f t="shared" si="69"/>
        <v>0</v>
      </c>
      <c r="BV246" s="322"/>
      <c r="BW246" s="320"/>
      <c r="BX246" s="320"/>
      <c r="BY246" s="320"/>
      <c r="BZ246" s="320"/>
      <c r="CA246" s="320"/>
      <c r="CB246" s="320"/>
      <c r="CC246" s="275">
        <f t="shared" si="70"/>
        <v>0</v>
      </c>
      <c r="CD246" s="98">
        <v>7.45</v>
      </c>
      <c r="CE246" s="91">
        <v>11.8</v>
      </c>
      <c r="CF246" s="91">
        <v>10.25</v>
      </c>
      <c r="CG246" s="91">
        <v>6.7</v>
      </c>
      <c r="CH246" s="266">
        <f t="shared" si="71"/>
        <v>89.932885906040269</v>
      </c>
      <c r="CI246" s="320"/>
      <c r="CJ246" s="280">
        <f t="shared" si="72"/>
        <v>62.934375000000003</v>
      </c>
      <c r="CK246" s="83"/>
      <c r="CL246" s="91"/>
      <c r="CM246" s="91"/>
      <c r="CN246" s="91"/>
      <c r="CO246" s="256" t="str">
        <f t="shared" si="73"/>
        <v/>
      </c>
      <c r="CP246" s="320"/>
      <c r="CQ246" s="256">
        <f t="shared" si="74"/>
        <v>0</v>
      </c>
      <c r="CR246" s="256" t="str">
        <f>IF(CO246&lt;'Look Ups'!$AC$4,"Yes","No")</f>
        <v>No</v>
      </c>
      <c r="CS246" s="293">
        <f>IF(CR246="Yes",MIN(150,('Look Ups'!$AC$4-PSCR)/('Look Ups'!$AC$4-'Look Ups'!$AC$3)*100),0)</f>
        <v>0</v>
      </c>
      <c r="CT246" s="83"/>
      <c r="CU246" s="91"/>
      <c r="CV246" s="91"/>
      <c r="CW246" s="91"/>
      <c r="CX246" s="256" t="str">
        <f t="shared" si="75"/>
        <v/>
      </c>
      <c r="CY246" s="293">
        <f>IF(PUSCR&lt;'Look Ups'!$AC$4,MIN(150,('Look Ups'!$AC$4-PUSCR)/('Look Ups'!$AC$4-'Look Ups'!$AC$3)*100),0)</f>
        <v>0</v>
      </c>
      <c r="CZ246" s="275">
        <f>IF(PUSCR&lt;'Look Ups'!$AC$4,USCRF*(USCRL1+USCRL2)/4+(USCRMG-USCRF/2)*(USCRL1+USCRL2)/3,0)</f>
        <v>0</v>
      </c>
      <c r="DA246" s="294">
        <f t="shared" si="76"/>
        <v>1</v>
      </c>
      <c r="DB246" s="256">
        <f t="shared" si="77"/>
        <v>29.039334</v>
      </c>
      <c r="DC246" s="256">
        <f t="shared" si="78"/>
        <v>1</v>
      </c>
      <c r="DD246" s="256">
        <f t="shared" si="79"/>
        <v>12.277467999999997</v>
      </c>
      <c r="DE246" s="256">
        <f>IF(AZ246&gt;0,'Look Ups'!$S$3,0)</f>
        <v>1</v>
      </c>
      <c r="DF246" s="256">
        <f t="shared" si="80"/>
        <v>0</v>
      </c>
      <c r="DG246" s="256">
        <f t="shared" si="81"/>
        <v>0</v>
      </c>
      <c r="DH246" s="256">
        <f t="shared" si="82"/>
        <v>0</v>
      </c>
      <c r="DI246" s="280">
        <f t="shared" si="83"/>
        <v>0</v>
      </c>
      <c r="DJ246" s="295" t="str">
        <f t="shared" si="84"/>
        <v>-</v>
      </c>
      <c r="DK246" s="266" t="str">
        <f t="shared" si="85"/>
        <v>valid</v>
      </c>
      <c r="DL246" s="267" t="str">
        <f t="shared" si="86"/>
        <v>MGSP</v>
      </c>
      <c r="DM246" s="294">
        <f t="shared" si="87"/>
        <v>41.316801999999996</v>
      </c>
      <c r="DN246" s="256">
        <f>IF(MSASP&gt;0,'Look Ups'!$AI$4*(ZVAL*MSASP-RSAG),0)</f>
        <v>15.1970721</v>
      </c>
      <c r="DO246" s="256">
        <f>IF(AND(MSASC&gt;0,(MSASC&gt;=0.36*RSAM)),('Look Ups'!$AI$3*(ZVAL*MSASC-RSAG)),(0))</f>
        <v>0</v>
      </c>
      <c r="DP246" s="256">
        <f>IF(MSASP&gt;0,'Look Ups'!$AI$5*(ZVAL*MSASP-RSAG),0)</f>
        <v>14.183933960000003</v>
      </c>
      <c r="DQ246" s="256">
        <f>IF(MSASC&gt;0,'Look Ups'!$AI$6*(MSASC-RSAG),0)</f>
        <v>0</v>
      </c>
      <c r="DR246" s="280">
        <f>'Look Ups'!$AI$7*MAX(IF(MSAUSC&gt;0,EUSC/100*(MSAUSC-RSAG),0),IF(CR246="Yes",ELSC/100*(MSASC-RSAG),0))</f>
        <v>0</v>
      </c>
      <c r="DS246" s="280">
        <f t="shared" si="88"/>
        <v>10.45416024</v>
      </c>
      <c r="DT246" s="296">
        <f t="shared" si="89"/>
        <v>56.513874099999995</v>
      </c>
      <c r="DU246" s="14"/>
    </row>
    <row r="247" spans="1:125" ht="15.6" customHeight="1" x14ac:dyDescent="0.3">
      <c r="A247" s="4"/>
      <c r="B247" s="365"/>
      <c r="C247" s="369" t="s">
        <v>849</v>
      </c>
      <c r="D247" s="370" t="s">
        <v>850</v>
      </c>
      <c r="E247" s="371" t="s">
        <v>851</v>
      </c>
      <c r="F247" s="252">
        <f t="shared" ca="1" si="60"/>
        <v>0.96299999999999997</v>
      </c>
      <c r="G247" s="252" t="str">
        <f ca="1">IF(OR(FLSCR="ERROR",FLSPI="ERROR"),"No",IF(TODAY()-'Look Ups'!$D$4*365&gt;I247,"WP Applied","Yes"))</f>
        <v>WP Applied</v>
      </c>
      <c r="H247" s="253" t="str">
        <f t="shared" si="61"/>
        <v>Main-Genoa-Screacher (Upwind)-Spinnaker</v>
      </c>
      <c r="I247" s="1">
        <v>41207</v>
      </c>
      <c r="J247" s="1">
        <v>41230</v>
      </c>
      <c r="K247" s="87" t="s">
        <v>365</v>
      </c>
      <c r="L247" s="87" t="s">
        <v>159</v>
      </c>
      <c r="M247" s="207"/>
      <c r="N247" s="88" t="s">
        <v>143</v>
      </c>
      <c r="O247" s="88" t="s">
        <v>144</v>
      </c>
      <c r="P247" s="89"/>
      <c r="Q247" s="90">
        <v>6.7</v>
      </c>
      <c r="R247" s="87"/>
      <c r="S247" s="256">
        <f t="shared" si="62"/>
        <v>0.16750000000000001</v>
      </c>
      <c r="T247" s="117">
        <v>0.62</v>
      </c>
      <c r="U247" s="117">
        <v>0</v>
      </c>
      <c r="V247" s="258">
        <f t="shared" si="63"/>
        <v>6.08</v>
      </c>
      <c r="W247" s="259">
        <f>IF(RL&gt;0,IF(RL&gt;'Look Ups'!Y$7,'Look Ups'!Y$8,('Look Ups'!Y$3*RL^3+'Look Ups'!Y$4*RL^2+'Look Ups'!Y$5*RL+'Look Ups'!Y$6)),0)</f>
        <v>0.28472397849600001</v>
      </c>
      <c r="X247" s="92">
        <v>505</v>
      </c>
      <c r="Y247" s="263">
        <f ca="1">IF(WDATE&lt;(TODAY()-'Look Ups'!$D$4*365),-WM*'Look Ups'!$D$5/100,0)</f>
        <v>-75.75</v>
      </c>
      <c r="Z247" s="103"/>
      <c r="AA247" s="109"/>
      <c r="AB247" s="109"/>
      <c r="AC247" s="265">
        <f>WCD+NC*'Look Ups'!$AF$3</f>
        <v>0</v>
      </c>
      <c r="AD247" s="265">
        <f ca="1">IF(RL&lt;'Look Ups'!AM$3,'Look Ups'!AM$4,IF(RL&gt;'Look Ups'!AM$5,'Look Ups'!AM$6,(RL-'Look Ups'!AM$3)/('Look Ups'!AM$5-'Look Ups'!AM$3)*('Look Ups'!AM$6-'Look Ups'!AM$4)+'Look Ups'!AM$4))/100*WS</f>
        <v>128.77500000000001</v>
      </c>
      <c r="AE247" s="269">
        <f t="shared" ca="1" si="64"/>
        <v>429.25</v>
      </c>
      <c r="AF247" s="267">
        <f t="shared" ca="1" si="65"/>
        <v>429.25</v>
      </c>
      <c r="AG247" s="94" t="s">
        <v>145</v>
      </c>
      <c r="AH247" s="95" t="s">
        <v>146</v>
      </c>
      <c r="AI247" s="96" t="s">
        <v>147</v>
      </c>
      <c r="AJ247" s="218"/>
      <c r="AK247" s="273">
        <f>IF(C247="",0,VLOOKUP(AG247,'Look Ups'!$F$3:$G$6,2,0)*VLOOKUP(AH247,'Look Ups'!$I$3:$J$5,2,0)*VLOOKUP(AI247,'Look Ups'!$L$3:$M$7,2,0)*IF(AJ247="",1,VLOOKUP(AJ247,'Look Ups'!$O$3:$P$4,2,0)))</f>
        <v>1</v>
      </c>
      <c r="AL247" s="83">
        <v>9.48</v>
      </c>
      <c r="AM247" s="91">
        <v>9.25</v>
      </c>
      <c r="AN247" s="91">
        <v>2.78</v>
      </c>
      <c r="AO247" s="91">
        <v>1.21</v>
      </c>
      <c r="AP247" s="91">
        <v>0.30000000000000004</v>
      </c>
      <c r="AQ247" s="91">
        <v>9.42</v>
      </c>
      <c r="AR247" s="91">
        <v>0.1</v>
      </c>
      <c r="AS247" s="91">
        <v>2.84</v>
      </c>
      <c r="AT247" s="91">
        <v>0.05</v>
      </c>
      <c r="AU247" s="91">
        <v>0.47</v>
      </c>
      <c r="AV247" s="91" t="s">
        <v>148</v>
      </c>
      <c r="AW247" s="97">
        <v>0</v>
      </c>
      <c r="AX247" s="256">
        <f t="shared" si="66"/>
        <v>9.4700000000000006</v>
      </c>
      <c r="AY247" s="256">
        <f t="shared" si="67"/>
        <v>1.6602749999999997</v>
      </c>
      <c r="AZ247" s="275">
        <f>IF(C247="",0,(0.5*(_ML1*LPM)+0.5*(_ML1*HB)+0.66*(P*PR)+0.66*(_ML2*RDM)+0.66*(E*ER))*VLOOKUP(BATT,'Look Ups'!$U$3:$V$4,2,0))</f>
        <v>21.459540000000001</v>
      </c>
      <c r="BA247" s="98"/>
      <c r="BB247" s="99"/>
      <c r="BC247" s="83">
        <v>7.68</v>
      </c>
      <c r="BD247" s="91">
        <v>2.04</v>
      </c>
      <c r="BE247" s="91">
        <v>2.23</v>
      </c>
      <c r="BF247" s="91">
        <v>0.06</v>
      </c>
      <c r="BG247" s="91">
        <v>7.68</v>
      </c>
      <c r="BH247" s="91"/>
      <c r="BI247" s="91"/>
      <c r="BJ247" s="91">
        <v>-0.06</v>
      </c>
      <c r="BK247" s="91">
        <v>0</v>
      </c>
      <c r="BL247" s="97">
        <v>0</v>
      </c>
      <c r="BM247" s="275">
        <f t="shared" si="68"/>
        <v>7.6177799999999989</v>
      </c>
      <c r="BN247" s="319"/>
      <c r="BO247" s="320"/>
      <c r="BP247" s="321"/>
      <c r="BQ247" s="321"/>
      <c r="BR247" s="320"/>
      <c r="BS247" s="321"/>
      <c r="BT247" s="321"/>
      <c r="BU247" s="280">
        <f t="shared" si="69"/>
        <v>0</v>
      </c>
      <c r="BV247" s="322"/>
      <c r="BW247" s="320"/>
      <c r="BX247" s="320"/>
      <c r="BY247" s="320"/>
      <c r="BZ247" s="320"/>
      <c r="CA247" s="320"/>
      <c r="CB247" s="320"/>
      <c r="CC247" s="275">
        <f t="shared" si="70"/>
        <v>0</v>
      </c>
      <c r="CD247" s="98">
        <v>5.37</v>
      </c>
      <c r="CE247" s="91">
        <v>10.82</v>
      </c>
      <c r="CF247" s="91">
        <v>9.7200000000000006</v>
      </c>
      <c r="CG247" s="91">
        <v>4.47</v>
      </c>
      <c r="CH247" s="266">
        <f t="shared" si="71"/>
        <v>83.240223463687144</v>
      </c>
      <c r="CI247" s="320"/>
      <c r="CJ247" s="280">
        <f t="shared" si="72"/>
        <v>39.796249999999993</v>
      </c>
      <c r="CK247" s="83">
        <v>4.6399999999999997</v>
      </c>
      <c r="CL247" s="91">
        <v>9.9600000000000009</v>
      </c>
      <c r="CM247" s="91">
        <v>9.16</v>
      </c>
      <c r="CN247" s="91">
        <v>2.36</v>
      </c>
      <c r="CO247" s="256">
        <f t="shared" si="73"/>
        <v>50.862068965517238</v>
      </c>
      <c r="CP247" s="320"/>
      <c r="CQ247" s="256">
        <f t="shared" si="74"/>
        <v>22.434133333333332</v>
      </c>
      <c r="CR247" s="256" t="str">
        <f>IF(CO247&lt;'Look Ups'!$AC$4,"Yes","No")</f>
        <v>Yes</v>
      </c>
      <c r="CS247" s="293">
        <f>IF(CR247="Yes",MIN(150,('Look Ups'!$AC$4-PSCR)/('Look Ups'!$AC$4-'Look Ups'!$AC$3)*100),0)</f>
        <v>22.758620689655231</v>
      </c>
      <c r="CT247" s="83"/>
      <c r="CU247" s="91"/>
      <c r="CV247" s="91"/>
      <c r="CW247" s="91"/>
      <c r="CX247" s="256" t="str">
        <f t="shared" si="75"/>
        <v/>
      </c>
      <c r="CY247" s="293">
        <f>IF(PUSCR&lt;'Look Ups'!$AC$4,MIN(150,('Look Ups'!$AC$4-PUSCR)/('Look Ups'!$AC$4-'Look Ups'!$AC$3)*100),0)</f>
        <v>0</v>
      </c>
      <c r="CZ247" s="275">
        <f>IF(PUSCR&lt;'Look Ups'!$AC$4,USCRF*(USCRL1+USCRL2)/4+(USCRMG-USCRF/2)*(USCRL1+USCRL2)/3,0)</f>
        <v>0</v>
      </c>
      <c r="DA247" s="294">
        <f t="shared" si="76"/>
        <v>1</v>
      </c>
      <c r="DB247" s="256">
        <f t="shared" si="77"/>
        <v>23.119814999999999</v>
      </c>
      <c r="DC247" s="256">
        <f t="shared" si="78"/>
        <v>1</v>
      </c>
      <c r="DD247" s="256">
        <f t="shared" si="79"/>
        <v>7.6177799999999989</v>
      </c>
      <c r="DE247" s="256">
        <f>IF(AZ247&gt;0,'Look Ups'!$S$3,0)</f>
        <v>1</v>
      </c>
      <c r="DF247" s="256">
        <f t="shared" si="80"/>
        <v>0</v>
      </c>
      <c r="DG247" s="256">
        <f t="shared" si="81"/>
        <v>0</v>
      </c>
      <c r="DH247" s="256">
        <f t="shared" si="82"/>
        <v>0</v>
      </c>
      <c r="DI247" s="280">
        <f t="shared" si="83"/>
        <v>0</v>
      </c>
      <c r="DJ247" s="295" t="str">
        <f t="shared" si="84"/>
        <v>valid</v>
      </c>
      <c r="DK247" s="266" t="str">
        <f t="shared" si="85"/>
        <v>valid</v>
      </c>
      <c r="DL247" s="267" t="str">
        <f t="shared" si="86"/>
        <v>MGScrSP</v>
      </c>
      <c r="DM247" s="294">
        <f t="shared" si="87"/>
        <v>30.737594999999999</v>
      </c>
      <c r="DN247" s="256">
        <f>IF(MSASP&gt;0,'Look Ups'!$AI$4*(ZVAL*MSASP-RSAG),0)</f>
        <v>9.6535409999999988</v>
      </c>
      <c r="DO247" s="256">
        <f>IF(AND(MSASC&gt;0,(MSASC&gt;=0.36*RSAM)),('Look Ups'!$AI$3*(ZVAL*MSASC-RSAG)),(0))</f>
        <v>5.1857236666666662</v>
      </c>
      <c r="DP247" s="256">
        <f>IF(MSASP&gt;0,'Look Ups'!$AI$5*(ZVAL*MSASP-RSAG),0)</f>
        <v>9.0099716000000001</v>
      </c>
      <c r="DQ247" s="256">
        <f>IF(MSASC&gt;0,'Look Ups'!$AI$6*(MSASC-RSAG),0)</f>
        <v>1.0371447333333332</v>
      </c>
      <c r="DR247" s="280">
        <f>'Look Ups'!$AI$7*MAX(IF(MSAUSC&gt;0,EUSC/100*(MSAUSC-RSAG),0),IF(CR247="Yes",ELSC/100*(MSASC-RSAG),0))</f>
        <v>0.84299941379310561</v>
      </c>
      <c r="DS247" s="280">
        <f t="shared" si="88"/>
        <v>8.3231333999999997</v>
      </c>
      <c r="DT247" s="296">
        <f t="shared" si="89"/>
        <v>41.627710747126443</v>
      </c>
      <c r="DU247" s="14"/>
    </row>
    <row r="248" spans="1:125" ht="15.6" customHeight="1" x14ac:dyDescent="0.3">
      <c r="A248" s="4"/>
      <c r="B248" s="365"/>
      <c r="C248" s="369" t="s">
        <v>852</v>
      </c>
      <c r="D248" s="370" t="s">
        <v>734</v>
      </c>
      <c r="E248" s="371" t="s">
        <v>853</v>
      </c>
      <c r="F248" s="252">
        <f t="shared" ca="1" si="60"/>
        <v>0.89100000000000001</v>
      </c>
      <c r="G248" s="252" t="str">
        <f ca="1">IF(OR(FLSCR="ERROR",FLSPI="ERROR"),"No",IF(TODAY()-'Look Ups'!$D$4*365&gt;I248,"WP Applied","Yes"))</f>
        <v>WP Applied</v>
      </c>
      <c r="H248" s="253" t="str">
        <f t="shared" si="61"/>
        <v>Main-Genoa-Spinnaker</v>
      </c>
      <c r="I248" s="1">
        <v>38290</v>
      </c>
      <c r="J248" s="1">
        <v>40798</v>
      </c>
      <c r="K248" s="87" t="s">
        <v>218</v>
      </c>
      <c r="L248" s="87" t="s">
        <v>182</v>
      </c>
      <c r="M248" s="207"/>
      <c r="N248" s="88" t="s">
        <v>143</v>
      </c>
      <c r="O248" s="88" t="s">
        <v>154</v>
      </c>
      <c r="P248" s="89"/>
      <c r="Q248" s="90">
        <v>7.39</v>
      </c>
      <c r="R248" s="87"/>
      <c r="S248" s="256">
        <f t="shared" si="62"/>
        <v>0.18475</v>
      </c>
      <c r="T248" s="117">
        <v>0.23</v>
      </c>
      <c r="U248" s="117">
        <v>0</v>
      </c>
      <c r="V248" s="258">
        <f t="shared" si="63"/>
        <v>7.1599999999999993</v>
      </c>
      <c r="W248" s="259">
        <f>IF(RL&gt;0,IF(RL&gt;'Look Ups'!Y$7,'Look Ups'!Y$8,('Look Ups'!Y$3*RL^3+'Look Ups'!Y$4*RL^2+'Look Ups'!Y$5*RL+'Look Ups'!Y$6)),0)</f>
        <v>0.29046119596800002</v>
      </c>
      <c r="X248" s="92">
        <v>1135</v>
      </c>
      <c r="Y248" s="263">
        <f ca="1">IF(WDATE&lt;(TODAY()-'Look Ups'!$D$4*365),-WM*'Look Ups'!$D$5/100,0)</f>
        <v>-170.25</v>
      </c>
      <c r="Z248" s="103"/>
      <c r="AA248" s="109"/>
      <c r="AB248" s="109"/>
      <c r="AC248" s="265">
        <f>WCD+NC*'Look Ups'!$AF$3</f>
        <v>0</v>
      </c>
      <c r="AD248" s="265">
        <f ca="1">IF(RL&lt;'Look Ups'!AM$3,'Look Ups'!AM$4,IF(RL&gt;'Look Ups'!AM$5,'Look Ups'!AM$6,(RL-'Look Ups'!AM$3)/('Look Ups'!AM$5-'Look Ups'!AM$3)*('Look Ups'!AM$6-'Look Ups'!AM$4)+'Look Ups'!AM$4))/100*WS</f>
        <v>273.28736363636369</v>
      </c>
      <c r="AE248" s="269">
        <f t="shared" ca="1" si="64"/>
        <v>964.75</v>
      </c>
      <c r="AF248" s="267">
        <f t="shared" ca="1" si="65"/>
        <v>964.75</v>
      </c>
      <c r="AG248" s="94" t="s">
        <v>145</v>
      </c>
      <c r="AH248" s="95" t="s">
        <v>146</v>
      </c>
      <c r="AI248" s="96" t="s">
        <v>147</v>
      </c>
      <c r="AJ248" s="218"/>
      <c r="AK248" s="273">
        <f>IF(C248="",0,VLOOKUP(AG248,'Look Ups'!$F$3:$G$6,2,0)*VLOOKUP(AH248,'Look Ups'!$I$3:$J$5,2,0)*VLOOKUP(AI248,'Look Ups'!$L$3:$M$7,2,0)*IF(AJ248="",1,VLOOKUP(AJ248,'Look Ups'!$O$3:$P$4,2,0)))</f>
        <v>1</v>
      </c>
      <c r="AL248" s="83">
        <v>10.19</v>
      </c>
      <c r="AM248" s="91">
        <v>9.23</v>
      </c>
      <c r="AN248" s="91">
        <v>3.33</v>
      </c>
      <c r="AO248" s="91">
        <v>1.19</v>
      </c>
      <c r="AP248" s="91">
        <v>0.43</v>
      </c>
      <c r="AQ248" s="91">
        <v>10</v>
      </c>
      <c r="AR248" s="91">
        <v>0.15</v>
      </c>
      <c r="AS248" s="91">
        <v>3.42</v>
      </c>
      <c r="AT248" s="91">
        <v>0.05</v>
      </c>
      <c r="AU248" s="91">
        <v>0.45</v>
      </c>
      <c r="AV248" s="91" t="s">
        <v>148</v>
      </c>
      <c r="AW248" s="97">
        <v>0</v>
      </c>
      <c r="AX248" s="256">
        <f t="shared" si="66"/>
        <v>10.050000000000001</v>
      </c>
      <c r="AY248" s="256">
        <f t="shared" si="67"/>
        <v>1.6875</v>
      </c>
      <c r="AZ248" s="275">
        <f>IF(C248="",0,(0.5*(_ML1*LPM)+0.5*(_ML1*HB)+0.66*(P*PR)+0.66*(_ML2*RDM)+0.66*(E*ER))*VLOOKUP(BATT,'Look Ups'!$U$3:$V$4,2,0))</f>
        <v>26.751733999999999</v>
      </c>
      <c r="BA248" s="98"/>
      <c r="BB248" s="99"/>
      <c r="BC248" s="83">
        <v>7.96</v>
      </c>
      <c r="BD248" s="91">
        <v>2.8250000000000002</v>
      </c>
      <c r="BE248" s="91">
        <v>3.15</v>
      </c>
      <c r="BF248" s="91">
        <v>0.09</v>
      </c>
      <c r="BG248" s="91">
        <v>7.125</v>
      </c>
      <c r="BH248" s="91"/>
      <c r="BI248" s="91"/>
      <c r="BJ248" s="91">
        <v>0.20500000000000002</v>
      </c>
      <c r="BK248" s="91">
        <v>2.5000000000000001E-2</v>
      </c>
      <c r="BL248" s="97">
        <v>0</v>
      </c>
      <c r="BM248" s="275">
        <f t="shared" si="68"/>
        <v>12.525962500000002</v>
      </c>
      <c r="BN248" s="319"/>
      <c r="BO248" s="320"/>
      <c r="BP248" s="321"/>
      <c r="BQ248" s="321"/>
      <c r="BR248" s="320"/>
      <c r="BS248" s="321"/>
      <c r="BT248" s="321"/>
      <c r="BU248" s="280">
        <f t="shared" si="69"/>
        <v>0</v>
      </c>
      <c r="BV248" s="322"/>
      <c r="BW248" s="320"/>
      <c r="BX248" s="320"/>
      <c r="BY248" s="320"/>
      <c r="BZ248" s="320"/>
      <c r="CA248" s="320"/>
      <c r="CB248" s="320"/>
      <c r="CC248" s="275">
        <f t="shared" si="70"/>
        <v>0</v>
      </c>
      <c r="CD248" s="98">
        <v>7.04</v>
      </c>
      <c r="CE248" s="91">
        <v>12.52</v>
      </c>
      <c r="CF248" s="91">
        <v>11.2</v>
      </c>
      <c r="CG248" s="91">
        <v>6.65</v>
      </c>
      <c r="CH248" s="266">
        <f t="shared" si="71"/>
        <v>94.46022727272728</v>
      </c>
      <c r="CI248" s="320"/>
      <c r="CJ248" s="280">
        <f t="shared" si="72"/>
        <v>66.495066666666673</v>
      </c>
      <c r="CK248" s="83"/>
      <c r="CL248" s="91"/>
      <c r="CM248" s="91"/>
      <c r="CN248" s="91"/>
      <c r="CO248" s="256" t="str">
        <f t="shared" si="73"/>
        <v/>
      </c>
      <c r="CP248" s="320"/>
      <c r="CQ248" s="256">
        <f t="shared" si="74"/>
        <v>0</v>
      </c>
      <c r="CR248" s="256" t="str">
        <f>IF(CO248&lt;'Look Ups'!$AC$4,"Yes","No")</f>
        <v>No</v>
      </c>
      <c r="CS248" s="293">
        <f>IF(CR248="Yes",MIN(150,('Look Ups'!$AC$4-PSCR)/('Look Ups'!$AC$4-'Look Ups'!$AC$3)*100),0)</f>
        <v>0</v>
      </c>
      <c r="CT248" s="83"/>
      <c r="CU248" s="91"/>
      <c r="CV248" s="91"/>
      <c r="CW248" s="91"/>
      <c r="CX248" s="256" t="str">
        <f t="shared" si="75"/>
        <v/>
      </c>
      <c r="CY248" s="293">
        <f>IF(PUSCR&lt;'Look Ups'!$AC$4,MIN(150,('Look Ups'!$AC$4-PUSCR)/('Look Ups'!$AC$4-'Look Ups'!$AC$3)*100),0)</f>
        <v>0</v>
      </c>
      <c r="CZ248" s="275">
        <f>IF(PUSCR&lt;'Look Ups'!$AC$4,USCRF*(USCRL1+USCRL2)/4+(USCRMG-USCRF/2)*(USCRL1+USCRL2)/3,0)</f>
        <v>0</v>
      </c>
      <c r="DA248" s="294">
        <f t="shared" si="76"/>
        <v>1</v>
      </c>
      <c r="DB248" s="256">
        <f t="shared" si="77"/>
        <v>28.439233999999999</v>
      </c>
      <c r="DC248" s="256">
        <f t="shared" si="78"/>
        <v>1</v>
      </c>
      <c r="DD248" s="256">
        <f t="shared" si="79"/>
        <v>12.525962500000002</v>
      </c>
      <c r="DE248" s="256">
        <f>IF(AZ248&gt;0,'Look Ups'!$S$3,0)</f>
        <v>1</v>
      </c>
      <c r="DF248" s="256">
        <f t="shared" si="80"/>
        <v>0</v>
      </c>
      <c r="DG248" s="256">
        <f t="shared" si="81"/>
        <v>0</v>
      </c>
      <c r="DH248" s="256">
        <f t="shared" si="82"/>
        <v>0</v>
      </c>
      <c r="DI248" s="280">
        <f t="shared" si="83"/>
        <v>0</v>
      </c>
      <c r="DJ248" s="295" t="str">
        <f t="shared" si="84"/>
        <v>-</v>
      </c>
      <c r="DK248" s="266" t="str">
        <f t="shared" si="85"/>
        <v>valid</v>
      </c>
      <c r="DL248" s="267" t="str">
        <f t="shared" si="86"/>
        <v>MGSP</v>
      </c>
      <c r="DM248" s="294">
        <f t="shared" si="87"/>
        <v>40.965196500000005</v>
      </c>
      <c r="DN248" s="256">
        <f>IF(MSASP&gt;0,'Look Ups'!$AI$4*(ZVAL*MSASP-RSAG),0)</f>
        <v>16.190731249999999</v>
      </c>
      <c r="DO248" s="256">
        <f>IF(AND(MSASC&gt;0,(MSASC&gt;=0.36*RSAM)),('Look Ups'!$AI$3*(ZVAL*MSASC-RSAG)),(0))</f>
        <v>0</v>
      </c>
      <c r="DP248" s="256">
        <f>IF(MSASP&gt;0,'Look Ups'!$AI$5*(ZVAL*MSASP-RSAG),0)</f>
        <v>15.111349166666669</v>
      </c>
      <c r="DQ248" s="256">
        <f>IF(MSASC&gt;0,'Look Ups'!$AI$6*(MSASC-RSAG),0)</f>
        <v>0</v>
      </c>
      <c r="DR248" s="280">
        <f>'Look Ups'!$AI$7*MAX(IF(MSAUSC&gt;0,EUSC/100*(MSAUSC-RSAG),0),IF(CR248="Yes",ELSC/100*(MSASC-RSAG),0))</f>
        <v>0</v>
      </c>
      <c r="DS248" s="280">
        <f t="shared" si="88"/>
        <v>10.238124239999999</v>
      </c>
      <c r="DT248" s="296">
        <f t="shared" si="89"/>
        <v>57.155927750000004</v>
      </c>
      <c r="DU248" s="14"/>
    </row>
    <row r="249" spans="1:125" ht="15.6" customHeight="1" x14ac:dyDescent="0.3">
      <c r="A249" s="4"/>
      <c r="B249" s="365"/>
      <c r="C249" s="369" t="s">
        <v>854</v>
      </c>
      <c r="D249" s="370" t="s">
        <v>638</v>
      </c>
      <c r="E249" s="371" t="s">
        <v>855</v>
      </c>
      <c r="F249" s="252">
        <f t="shared" ca="1" si="60"/>
        <v>0.76500000000000001</v>
      </c>
      <c r="G249" s="252" t="str">
        <f ca="1">IF(OR(FLSCR="ERROR",FLSPI="ERROR"),"No",IF(TODAY()-'Look Ups'!$D$4*365&gt;I249,"WP Applied","Yes"))</f>
        <v>Yes</v>
      </c>
      <c r="H249" s="253" t="str">
        <f t="shared" si="61"/>
        <v>Main-Genoa-Screacher (Upwind)-Spinnaker</v>
      </c>
      <c r="I249" s="1">
        <v>43172</v>
      </c>
      <c r="J249" s="1">
        <v>43405</v>
      </c>
      <c r="K249" s="87" t="s">
        <v>325</v>
      </c>
      <c r="L249" s="87" t="s">
        <v>142</v>
      </c>
      <c r="M249" s="207"/>
      <c r="N249" s="88" t="s">
        <v>143</v>
      </c>
      <c r="O249" s="88"/>
      <c r="P249" s="89"/>
      <c r="Q249" s="90">
        <v>9.6</v>
      </c>
      <c r="R249" s="87"/>
      <c r="S249" s="256">
        <f t="shared" si="62"/>
        <v>0.24</v>
      </c>
      <c r="T249" s="117">
        <v>0.15</v>
      </c>
      <c r="U249" s="117"/>
      <c r="V249" s="258">
        <f t="shared" si="63"/>
        <v>9.4499999999999993</v>
      </c>
      <c r="W249" s="259">
        <f>IF(RL&gt;0,IF(RL&gt;'Look Ups'!Y$7,'Look Ups'!Y$8,('Look Ups'!Y$3*RL^3+'Look Ups'!Y$4*RL^2+'Look Ups'!Y$5*RL+'Look Ups'!Y$6)),0)</f>
        <v>0.29760048462499999</v>
      </c>
      <c r="X249" s="92">
        <v>2710</v>
      </c>
      <c r="Y249" s="263">
        <f ca="1">IF(WDATE&lt;(TODAY()-'Look Ups'!$D$4*365),-WM*'Look Ups'!$D$5/100,0)</f>
        <v>0</v>
      </c>
      <c r="Z249" s="103"/>
      <c r="AA249" s="109"/>
      <c r="AB249" s="109"/>
      <c r="AC249" s="265">
        <f>WCD+NC*'Look Ups'!$AF$3</f>
        <v>0</v>
      </c>
      <c r="AD249" s="265">
        <f ca="1">IF(RL&lt;'Look Ups'!AM$3,'Look Ups'!AM$4,IF(RL&gt;'Look Ups'!AM$5,'Look Ups'!AM$6,(RL-'Look Ups'!AM$3)/('Look Ups'!AM$5-'Look Ups'!AM$3)*('Look Ups'!AM$6-'Look Ups'!AM$4)+'Look Ups'!AM$4))/100*WS</f>
        <v>542</v>
      </c>
      <c r="AE249" s="269">
        <f t="shared" ca="1" si="64"/>
        <v>2710</v>
      </c>
      <c r="AF249" s="267">
        <f t="shared" ca="1" si="65"/>
        <v>2710</v>
      </c>
      <c r="AG249" s="94" t="s">
        <v>145</v>
      </c>
      <c r="AH249" s="95" t="s">
        <v>146</v>
      </c>
      <c r="AI249" s="96" t="s">
        <v>147</v>
      </c>
      <c r="AJ249" s="218"/>
      <c r="AK249" s="273">
        <f>IF(C249="",0,VLOOKUP(AG249,'Look Ups'!$F$3:$G$6,2,0)*VLOOKUP(AH249,'Look Ups'!$I$3:$J$5,2,0)*VLOOKUP(AI249,'Look Ups'!$L$3:$M$7,2,0)*IF(AJ249="",1,VLOOKUP(AJ249,'Look Ups'!$O$3:$P$4,2,0)))</f>
        <v>1</v>
      </c>
      <c r="AL249" s="83">
        <v>11.62</v>
      </c>
      <c r="AM249" s="91">
        <v>11.4</v>
      </c>
      <c r="AN249" s="91">
        <v>4.18</v>
      </c>
      <c r="AO249" s="91">
        <v>1.07</v>
      </c>
      <c r="AP249" s="91">
        <v>0.54</v>
      </c>
      <c r="AQ249" s="91">
        <v>11.28</v>
      </c>
      <c r="AR249" s="91">
        <v>0.19</v>
      </c>
      <c r="AS249" s="91">
        <v>4.3099999999999996</v>
      </c>
      <c r="AT249" s="91">
        <v>7.0000000000000007E-2</v>
      </c>
      <c r="AU249" s="91"/>
      <c r="AV249" s="91" t="s">
        <v>148</v>
      </c>
      <c r="AW249" s="97"/>
      <c r="AX249" s="256">
        <f t="shared" si="66"/>
        <v>11.35</v>
      </c>
      <c r="AY249" s="256">
        <f t="shared" si="67"/>
        <v>0</v>
      </c>
      <c r="AZ249" s="275">
        <f>IF(C249="",0,(0.5*(_ML1*LPM)+0.5*(_ML1*HB)+0.66*(P*PR)+0.66*(_ML2*RDM)+0.66*(E*ER))*VLOOKUP(BATT,'Look Ups'!$U$3:$V$4,2,0))</f>
        <v>36.179093999999999</v>
      </c>
      <c r="BA249" s="98"/>
      <c r="BB249" s="99"/>
      <c r="BC249" s="83">
        <v>10.64</v>
      </c>
      <c r="BD249" s="91">
        <v>3.58</v>
      </c>
      <c r="BE249" s="91">
        <v>3.83</v>
      </c>
      <c r="BF249" s="91">
        <v>0.13</v>
      </c>
      <c r="BG249" s="91">
        <v>9.6999999999999993</v>
      </c>
      <c r="BH249" s="91"/>
      <c r="BI249" s="91"/>
      <c r="BJ249" s="91">
        <v>-0.14000000000000001</v>
      </c>
      <c r="BK249" s="91">
        <v>0.125</v>
      </c>
      <c r="BL249" s="97"/>
      <c r="BM249" s="275">
        <f t="shared" si="68"/>
        <v>19.355734000000002</v>
      </c>
      <c r="BN249" s="319"/>
      <c r="BO249" s="320"/>
      <c r="BP249" s="321"/>
      <c r="BQ249" s="321"/>
      <c r="BR249" s="320"/>
      <c r="BS249" s="321"/>
      <c r="BT249" s="321"/>
      <c r="BU249" s="280">
        <f t="shared" si="69"/>
        <v>0</v>
      </c>
      <c r="BV249" s="322"/>
      <c r="BW249" s="320"/>
      <c r="BX249" s="320"/>
      <c r="BY249" s="320"/>
      <c r="BZ249" s="320"/>
      <c r="CA249" s="320"/>
      <c r="CB249" s="320"/>
      <c r="CC249" s="275">
        <f t="shared" si="70"/>
        <v>0</v>
      </c>
      <c r="CD249" s="98">
        <v>7.27</v>
      </c>
      <c r="CE249" s="91">
        <v>11.77</v>
      </c>
      <c r="CF249" s="91">
        <v>10.83</v>
      </c>
      <c r="CG249" s="91">
        <v>6.84</v>
      </c>
      <c r="CH249" s="266">
        <f t="shared" si="71"/>
        <v>94.085281980742792</v>
      </c>
      <c r="CI249" s="320"/>
      <c r="CJ249" s="280">
        <f t="shared" si="72"/>
        <v>65.219833333333327</v>
      </c>
      <c r="CK249" s="83">
        <v>8.07</v>
      </c>
      <c r="CL249" s="91">
        <v>11.5</v>
      </c>
      <c r="CM249" s="91">
        <v>10.64</v>
      </c>
      <c r="CN249" s="91">
        <v>4.1399999999999997</v>
      </c>
      <c r="CO249" s="256">
        <f t="shared" si="73"/>
        <v>51.301115241635685</v>
      </c>
      <c r="CP249" s="320"/>
      <c r="CQ249" s="256">
        <f t="shared" si="74"/>
        <v>45.442349999999998</v>
      </c>
      <c r="CR249" s="256" t="str">
        <f>IF(CO249&lt;'Look Ups'!$AC$4,"Yes","No")</f>
        <v>Yes</v>
      </c>
      <c r="CS249" s="293">
        <f>IF(CR249="Yes",MIN(150,('Look Ups'!$AC$4-PSCR)/('Look Ups'!$AC$4-'Look Ups'!$AC$3)*100),0)</f>
        <v>13.977695167286299</v>
      </c>
      <c r="CT249" s="83"/>
      <c r="CU249" s="91"/>
      <c r="CV249" s="91"/>
      <c r="CW249" s="91"/>
      <c r="CX249" s="256" t="str">
        <f t="shared" si="75"/>
        <v/>
      </c>
      <c r="CY249" s="293">
        <f>IF(PUSCR&lt;'Look Ups'!$AC$4,MIN(150,('Look Ups'!$AC$4-PUSCR)/('Look Ups'!$AC$4-'Look Ups'!$AC$3)*100),0)</f>
        <v>0</v>
      </c>
      <c r="CZ249" s="275">
        <f>IF(PUSCR&lt;'Look Ups'!$AC$4,USCRF*(USCRL1+USCRL2)/4+(USCRMG-USCRF/2)*(USCRL1+USCRL2)/3,0)</f>
        <v>0</v>
      </c>
      <c r="DA249" s="294">
        <f t="shared" si="76"/>
        <v>1</v>
      </c>
      <c r="DB249" s="256">
        <f t="shared" si="77"/>
        <v>36.179093999999999</v>
      </c>
      <c r="DC249" s="256">
        <f t="shared" si="78"/>
        <v>1</v>
      </c>
      <c r="DD249" s="256">
        <f t="shared" si="79"/>
        <v>19.355734000000002</v>
      </c>
      <c r="DE249" s="256">
        <f>IF(AZ249&gt;0,'Look Ups'!$S$3,0)</f>
        <v>1</v>
      </c>
      <c r="DF249" s="256">
        <f t="shared" si="80"/>
        <v>0</v>
      </c>
      <c r="DG249" s="256">
        <f t="shared" si="81"/>
        <v>0</v>
      </c>
      <c r="DH249" s="256">
        <f t="shared" si="82"/>
        <v>0</v>
      </c>
      <c r="DI249" s="280">
        <f t="shared" si="83"/>
        <v>0</v>
      </c>
      <c r="DJ249" s="295" t="str">
        <f t="shared" si="84"/>
        <v>valid</v>
      </c>
      <c r="DK249" s="266" t="str">
        <f t="shared" si="85"/>
        <v>valid</v>
      </c>
      <c r="DL249" s="267" t="str">
        <f t="shared" si="86"/>
        <v>MGScrSP</v>
      </c>
      <c r="DM249" s="294">
        <f t="shared" si="87"/>
        <v>55.534828000000005</v>
      </c>
      <c r="DN249" s="256">
        <f>IF(MSASP&gt;0,'Look Ups'!$AI$4*(ZVAL*MSASP-RSAG),0)</f>
        <v>13.759229799999998</v>
      </c>
      <c r="DO249" s="256">
        <f>IF(AND(MSASC&gt;0,(MSASC&gt;=0.36*RSAM)),('Look Ups'!$AI$3*(ZVAL*MSASC-RSAG)),(0))</f>
        <v>9.1303155999999976</v>
      </c>
      <c r="DP249" s="256">
        <f>IF(MSASP&gt;0,'Look Ups'!$AI$5*(ZVAL*MSASP-RSAG),0)</f>
        <v>12.841947813333332</v>
      </c>
      <c r="DQ249" s="256">
        <f>IF(MSASC&gt;0,'Look Ups'!$AI$6*(MSASC-RSAG),0)</f>
        <v>1.8260631199999999</v>
      </c>
      <c r="DR249" s="280">
        <f>'Look Ups'!$AI$7*MAX(IF(MSAUSC&gt;0,EUSC/100*(MSAUSC-RSAG),0),IF(CR249="Yes",ELSC/100*(MSASC-RSAG),0))</f>
        <v>0.91157691598513346</v>
      </c>
      <c r="DS249" s="280">
        <f t="shared" si="88"/>
        <v>13.024473839999999</v>
      </c>
      <c r="DT249" s="296">
        <f t="shared" si="89"/>
        <v>71.114415849318476</v>
      </c>
      <c r="DU249" s="14"/>
    </row>
    <row r="250" spans="1:125" ht="15.6" customHeight="1" x14ac:dyDescent="0.3">
      <c r="A250" s="4"/>
      <c r="B250" s="365"/>
      <c r="C250" s="369" t="s">
        <v>856</v>
      </c>
      <c r="D250" s="370"/>
      <c r="E250" s="371"/>
      <c r="F250" s="252">
        <f t="shared" ca="1" si="60"/>
        <v>1.0169999999999999</v>
      </c>
      <c r="G250" s="252" t="str">
        <f ca="1">IF(OR(FLSCR="ERROR",FLSPI="ERROR"),"No",IF(TODAY()-'Look Ups'!$D$4*365&gt;I250,"WP Applied","Yes"))</f>
        <v>WP Applied</v>
      </c>
      <c r="H250" s="253" t="str">
        <f t="shared" si="61"/>
        <v>Main-Genoa-Spinnaker</v>
      </c>
      <c r="I250" s="1">
        <v>37988</v>
      </c>
      <c r="J250" s="1"/>
      <c r="K250" s="87" t="s">
        <v>664</v>
      </c>
      <c r="L250" s="87" t="s">
        <v>664</v>
      </c>
      <c r="M250" s="207"/>
      <c r="N250" s="88" t="s">
        <v>165</v>
      </c>
      <c r="O250" s="88"/>
      <c r="P250" s="89"/>
      <c r="Q250" s="90">
        <v>12.2</v>
      </c>
      <c r="R250" s="87"/>
      <c r="S250" s="256">
        <f t="shared" si="62"/>
        <v>0.30499999999999999</v>
      </c>
      <c r="T250" s="117">
        <v>0</v>
      </c>
      <c r="U250" s="117">
        <v>0</v>
      </c>
      <c r="V250" s="258">
        <f t="shared" si="63"/>
        <v>12.2</v>
      </c>
      <c r="W250" s="259">
        <f>IF(RL&gt;0,IF(RL&gt;'Look Ups'!Y$7,'Look Ups'!Y$8,('Look Ups'!Y$3*RL^3+'Look Ups'!Y$4*RL^2+'Look Ups'!Y$5*RL+'Look Ups'!Y$6)),0)</f>
        <v>0.3</v>
      </c>
      <c r="X250" s="92">
        <v>2950</v>
      </c>
      <c r="Y250" s="263">
        <f ca="1">IF(WDATE&lt;(TODAY()-'Look Ups'!$D$4*365),-WM*'Look Ups'!$D$5/100,0)</f>
        <v>-442.5</v>
      </c>
      <c r="Z250" s="103"/>
      <c r="AA250" s="109"/>
      <c r="AB250" s="109"/>
      <c r="AC250" s="265">
        <f>WCD+NC*'Look Ups'!$AF$3</f>
        <v>0</v>
      </c>
      <c r="AD250" s="265">
        <f ca="1">IF(RL&lt;'Look Ups'!AM$3,'Look Ups'!AM$4,IF(RL&gt;'Look Ups'!AM$5,'Look Ups'!AM$6,(RL-'Look Ups'!AM$3)/('Look Ups'!AM$5-'Look Ups'!AM$3)*('Look Ups'!AM$6-'Look Ups'!AM$4)+'Look Ups'!AM$4))/100*WS</f>
        <v>250.75</v>
      </c>
      <c r="AE250" s="269">
        <f t="shared" ca="1" si="64"/>
        <v>2507.5</v>
      </c>
      <c r="AF250" s="267">
        <f t="shared" ca="1" si="65"/>
        <v>2507.5</v>
      </c>
      <c r="AG250" s="94" t="s">
        <v>145</v>
      </c>
      <c r="AH250" s="95" t="s">
        <v>146</v>
      </c>
      <c r="AI250" s="96" t="s">
        <v>147</v>
      </c>
      <c r="AJ250" s="218"/>
      <c r="AK250" s="273">
        <f>IF(C250="",0,VLOOKUP(AG250,'Look Ups'!$F$3:$G$6,2,0)*VLOOKUP(AH250,'Look Ups'!$I$3:$J$5,2,0)*VLOOKUP(AI250,'Look Ups'!$L$3:$M$7,2,0)*IF(AJ250="",1,VLOOKUP(AJ250,'Look Ups'!$O$3:$P$4,2,0)))</f>
        <v>1</v>
      </c>
      <c r="AL250" s="83">
        <v>15.93</v>
      </c>
      <c r="AM250" s="91">
        <v>15.06</v>
      </c>
      <c r="AN250" s="91">
        <v>5.42</v>
      </c>
      <c r="AO250" s="91">
        <v>1.22</v>
      </c>
      <c r="AP250" s="91">
        <v>0.48</v>
      </c>
      <c r="AQ250" s="91">
        <v>15.31</v>
      </c>
      <c r="AR250" s="91">
        <v>0</v>
      </c>
      <c r="AS250" s="91">
        <v>5.6</v>
      </c>
      <c r="AT250" s="91">
        <v>-0.1</v>
      </c>
      <c r="AU250" s="91">
        <v>1.27</v>
      </c>
      <c r="AV250" s="91" t="s">
        <v>148</v>
      </c>
      <c r="AW250" s="97">
        <v>0</v>
      </c>
      <c r="AX250" s="256">
        <f t="shared" si="66"/>
        <v>15.21</v>
      </c>
      <c r="AY250" s="256">
        <f t="shared" si="67"/>
        <v>7.2913874999999999</v>
      </c>
      <c r="AZ250" s="275">
        <f>IF(C250="",0,(0.5*(_ML1*LPM)+0.5*(_ML1*HB)+0.66*(P*PR)+0.66*(_ML2*RDM)+0.66*(E*ER))*VLOOKUP(BATT,'Look Ups'!$U$3:$V$4,2,0))</f>
        <v>57.289008000000003</v>
      </c>
      <c r="BA250" s="98"/>
      <c r="BB250" s="99"/>
      <c r="BC250" s="83">
        <v>13.44</v>
      </c>
      <c r="BD250" s="91">
        <v>3.65</v>
      </c>
      <c r="BE250" s="91">
        <v>3.9</v>
      </c>
      <c r="BF250" s="91">
        <v>0</v>
      </c>
      <c r="BG250" s="91">
        <v>12.65</v>
      </c>
      <c r="BH250" s="91"/>
      <c r="BI250" s="91"/>
      <c r="BJ250" s="91">
        <v>0</v>
      </c>
      <c r="BK250" s="91">
        <v>0.2</v>
      </c>
      <c r="BL250" s="97">
        <v>0</v>
      </c>
      <c r="BM250" s="275">
        <f t="shared" si="68"/>
        <v>26.30208</v>
      </c>
      <c r="BN250" s="319"/>
      <c r="BO250" s="320"/>
      <c r="BP250" s="321"/>
      <c r="BQ250" s="321"/>
      <c r="BR250" s="320"/>
      <c r="BS250" s="321"/>
      <c r="BT250" s="321"/>
      <c r="BU250" s="280">
        <f t="shared" si="69"/>
        <v>0</v>
      </c>
      <c r="BV250" s="322"/>
      <c r="BW250" s="320"/>
      <c r="BX250" s="320"/>
      <c r="BY250" s="320"/>
      <c r="BZ250" s="320"/>
      <c r="CA250" s="320"/>
      <c r="CB250" s="320"/>
      <c r="CC250" s="275">
        <f t="shared" si="70"/>
        <v>0</v>
      </c>
      <c r="CD250" s="98">
        <v>7.9</v>
      </c>
      <c r="CE250" s="91">
        <v>16.440000000000001</v>
      </c>
      <c r="CF250" s="91">
        <v>15.15</v>
      </c>
      <c r="CG250" s="91">
        <v>6.8</v>
      </c>
      <c r="CH250" s="266">
        <f t="shared" si="71"/>
        <v>86.075949367088597</v>
      </c>
      <c r="CI250" s="320"/>
      <c r="CJ250" s="280">
        <f t="shared" si="72"/>
        <v>92.400750000000002</v>
      </c>
      <c r="CK250" s="83"/>
      <c r="CL250" s="91"/>
      <c r="CM250" s="91"/>
      <c r="CN250" s="91"/>
      <c r="CO250" s="256" t="str">
        <f t="shared" si="73"/>
        <v/>
      </c>
      <c r="CP250" s="320"/>
      <c r="CQ250" s="256">
        <f t="shared" si="74"/>
        <v>0</v>
      </c>
      <c r="CR250" s="256" t="str">
        <f>IF(CO250&lt;'Look Ups'!$AC$4,"Yes","No")</f>
        <v>No</v>
      </c>
      <c r="CS250" s="293">
        <f>IF(CR250="Yes",MIN(150,('Look Ups'!$AC$4-PSCR)/('Look Ups'!$AC$4-'Look Ups'!$AC$3)*100),0)</f>
        <v>0</v>
      </c>
      <c r="CT250" s="83"/>
      <c r="CU250" s="91"/>
      <c r="CV250" s="91"/>
      <c r="CW250" s="91"/>
      <c r="CX250" s="256" t="str">
        <f t="shared" si="75"/>
        <v/>
      </c>
      <c r="CY250" s="293">
        <f>IF(PUSCR&lt;'Look Ups'!$AC$4,MIN(150,('Look Ups'!$AC$4-PUSCR)/('Look Ups'!$AC$4-'Look Ups'!$AC$3)*100),0)</f>
        <v>0</v>
      </c>
      <c r="CZ250" s="275">
        <f>IF(PUSCR&lt;'Look Ups'!$AC$4,USCRF*(USCRL1+USCRL2)/4+(USCRMG-USCRF/2)*(USCRL1+USCRL2)/3,0)</f>
        <v>0</v>
      </c>
      <c r="DA250" s="294">
        <f t="shared" si="76"/>
        <v>1</v>
      </c>
      <c r="DB250" s="256">
        <f t="shared" si="77"/>
        <v>64.580395500000009</v>
      </c>
      <c r="DC250" s="256">
        <f t="shared" si="78"/>
        <v>1</v>
      </c>
      <c r="DD250" s="256">
        <f t="shared" si="79"/>
        <v>26.30208</v>
      </c>
      <c r="DE250" s="256">
        <f>IF(AZ250&gt;0,'Look Ups'!$S$3,0)</f>
        <v>1</v>
      </c>
      <c r="DF250" s="256">
        <f t="shared" si="80"/>
        <v>0</v>
      </c>
      <c r="DG250" s="256">
        <f t="shared" si="81"/>
        <v>0</v>
      </c>
      <c r="DH250" s="256">
        <f t="shared" si="82"/>
        <v>0</v>
      </c>
      <c r="DI250" s="280">
        <f t="shared" si="83"/>
        <v>0</v>
      </c>
      <c r="DJ250" s="295" t="str">
        <f t="shared" si="84"/>
        <v>-</v>
      </c>
      <c r="DK250" s="266" t="str">
        <f t="shared" si="85"/>
        <v>valid</v>
      </c>
      <c r="DL250" s="267" t="str">
        <f t="shared" si="86"/>
        <v>MGSP</v>
      </c>
      <c r="DM250" s="294">
        <f t="shared" si="87"/>
        <v>90.882475500000012</v>
      </c>
      <c r="DN250" s="256">
        <f>IF(MSASP&gt;0,'Look Ups'!$AI$4*(ZVAL*MSASP-RSAG),0)</f>
        <v>19.829601</v>
      </c>
      <c r="DO250" s="256">
        <f>IF(AND(MSASC&gt;0,(MSASC&gt;=0.36*RSAM)),('Look Ups'!$AI$3*(ZVAL*MSASC-RSAG)),(0))</f>
        <v>0</v>
      </c>
      <c r="DP250" s="256">
        <f>IF(MSASP&gt;0,'Look Ups'!$AI$5*(ZVAL*MSASP-RSAG),0)</f>
        <v>18.507627600000003</v>
      </c>
      <c r="DQ250" s="256">
        <f>IF(MSASC&gt;0,'Look Ups'!$AI$6*(MSASC-RSAG),0)</f>
        <v>0</v>
      </c>
      <c r="DR250" s="280">
        <f>'Look Ups'!$AI$7*MAX(IF(MSAUSC&gt;0,EUSC/100*(MSAUSC-RSAG),0),IF(CR250="Yes",ELSC/100*(MSASC-RSAG),0))</f>
        <v>0</v>
      </c>
      <c r="DS250" s="280">
        <f t="shared" si="88"/>
        <v>23.248942380000003</v>
      </c>
      <c r="DT250" s="296">
        <f t="shared" si="89"/>
        <v>110.71207650000001</v>
      </c>
      <c r="DU250" s="14"/>
    </row>
    <row r="251" spans="1:125" ht="15.6" customHeight="1" x14ac:dyDescent="0.3">
      <c r="A251" s="4"/>
      <c r="B251" s="365"/>
      <c r="C251" s="369" t="s">
        <v>857</v>
      </c>
      <c r="D251" s="370"/>
      <c r="E251" s="371" t="s">
        <v>858</v>
      </c>
      <c r="F251" s="252">
        <f t="shared" ca="1" si="60"/>
        <v>0.87</v>
      </c>
      <c r="G251" s="252" t="str">
        <f ca="1">IF(OR(FLSCR="ERROR",FLSPI="ERROR"),"No",IF(TODAY()-'Look Ups'!$D$4*365&gt;I251,"WP Applied","Yes"))</f>
        <v>WP Applied</v>
      </c>
      <c r="H251" s="253" t="str">
        <f t="shared" si="61"/>
        <v>Main-Genoa-Spinnaker</v>
      </c>
      <c r="I251" s="1">
        <v>35828</v>
      </c>
      <c r="J251" s="1">
        <v>38970</v>
      </c>
      <c r="K251" s="87" t="s">
        <v>664</v>
      </c>
      <c r="L251" s="87" t="s">
        <v>664</v>
      </c>
      <c r="M251" s="207"/>
      <c r="N251" s="88" t="s">
        <v>165</v>
      </c>
      <c r="O251" s="88"/>
      <c r="P251" s="89"/>
      <c r="Q251" s="90">
        <v>8.85</v>
      </c>
      <c r="R251" s="87"/>
      <c r="S251" s="256">
        <f t="shared" si="62"/>
        <v>0.22125</v>
      </c>
      <c r="T251" s="117">
        <v>0.36</v>
      </c>
      <c r="U251" s="117">
        <v>0</v>
      </c>
      <c r="V251" s="258">
        <f t="shared" si="63"/>
        <v>8.49</v>
      </c>
      <c r="W251" s="259">
        <f>IF(RL&gt;0,IF(RL&gt;'Look Ups'!Y$7,'Look Ups'!Y$8,('Look Ups'!Y$3*RL^3+'Look Ups'!Y$4*RL^2+'Look Ups'!Y$5*RL+'Look Ups'!Y$6)),0)</f>
        <v>0.29533754161700004</v>
      </c>
      <c r="X251" s="92">
        <v>1501</v>
      </c>
      <c r="Y251" s="263">
        <f ca="1">IF(WDATE&lt;(TODAY()-'Look Ups'!$D$4*365),-WM*'Look Ups'!$D$5/100,0)</f>
        <v>-225.15</v>
      </c>
      <c r="Z251" s="103"/>
      <c r="AA251" s="109"/>
      <c r="AB251" s="109"/>
      <c r="AC251" s="265">
        <f>WCD+NC*'Look Ups'!$AF$3</f>
        <v>0</v>
      </c>
      <c r="AD251" s="265">
        <f ca="1">IF(RL&lt;'Look Ups'!AM$3,'Look Ups'!AM$4,IF(RL&gt;'Look Ups'!AM$5,'Look Ups'!AM$6,(RL-'Look Ups'!AM$3)/('Look Ups'!AM$5-'Look Ups'!AM$3)*('Look Ups'!AM$6-'Look Ups'!AM$4)+'Look Ups'!AM$4))/100*WS</f>
        <v>299.70876363636364</v>
      </c>
      <c r="AE251" s="269">
        <f t="shared" ca="1" si="64"/>
        <v>1275.8499999999999</v>
      </c>
      <c r="AF251" s="267">
        <f t="shared" ca="1" si="65"/>
        <v>1275.8499999999999</v>
      </c>
      <c r="AG251" s="94" t="s">
        <v>145</v>
      </c>
      <c r="AH251" s="95" t="s">
        <v>146</v>
      </c>
      <c r="AI251" s="96" t="s">
        <v>147</v>
      </c>
      <c r="AJ251" s="218"/>
      <c r="AK251" s="273">
        <f>IF(C251="",0,VLOOKUP(AG251,'Look Ups'!$F$3:$G$6,2,0)*VLOOKUP(AH251,'Look Ups'!$I$3:$J$5,2,0)*VLOOKUP(AI251,'Look Ups'!$L$3:$M$7,2,0)*IF(AJ251="",1,VLOOKUP(AJ251,'Look Ups'!$O$3:$P$4,2,0)))</f>
        <v>1</v>
      </c>
      <c r="AL251" s="83">
        <v>10.61</v>
      </c>
      <c r="AM251" s="91">
        <v>9.31</v>
      </c>
      <c r="AN251" s="91">
        <v>3.07</v>
      </c>
      <c r="AO251" s="91">
        <v>1.25</v>
      </c>
      <c r="AP251" s="91">
        <v>0.66</v>
      </c>
      <c r="AQ251" s="91">
        <v>10.58</v>
      </c>
      <c r="AR251" s="91">
        <v>0.1</v>
      </c>
      <c r="AS251" s="91">
        <v>3.1</v>
      </c>
      <c r="AT251" s="91">
        <v>0.06</v>
      </c>
      <c r="AU251" s="91">
        <v>0.5</v>
      </c>
      <c r="AV251" s="91" t="s">
        <v>148</v>
      </c>
      <c r="AW251" s="97">
        <v>0</v>
      </c>
      <c r="AX251" s="256">
        <f t="shared" si="66"/>
        <v>10.64</v>
      </c>
      <c r="AY251" s="256">
        <f t="shared" si="67"/>
        <v>1.9837500000000001</v>
      </c>
      <c r="AZ251" s="275">
        <f>IF(C251="",0,(0.5*(_ML1*LPM)+0.5*(_ML1*HB)+0.66*(P*PR)+0.66*(_ML2*RDM)+0.66*(E*ER))*VLOOKUP(BATT,'Look Ups'!$U$3:$V$4,2,0))</f>
        <v>27.794076</v>
      </c>
      <c r="BA251" s="98"/>
      <c r="BB251" s="99"/>
      <c r="BC251" s="83">
        <v>10.39</v>
      </c>
      <c r="BD251" s="91">
        <v>2.74</v>
      </c>
      <c r="BE251" s="91">
        <v>3.02</v>
      </c>
      <c r="BF251" s="91">
        <v>1.4999999999999999E-2</v>
      </c>
      <c r="BG251" s="91">
        <v>9.6</v>
      </c>
      <c r="BH251" s="91"/>
      <c r="BI251" s="91"/>
      <c r="BJ251" s="91">
        <v>1.7000000000000001E-2</v>
      </c>
      <c r="BK251" s="91">
        <v>-8.0000000000000002E-3</v>
      </c>
      <c r="BL251" s="97">
        <v>0</v>
      </c>
      <c r="BM251" s="275">
        <f t="shared" si="68"/>
        <v>14.317050800000001</v>
      </c>
      <c r="BN251" s="319"/>
      <c r="BO251" s="320"/>
      <c r="BP251" s="321"/>
      <c r="BQ251" s="321"/>
      <c r="BR251" s="320"/>
      <c r="BS251" s="321"/>
      <c r="BT251" s="321"/>
      <c r="BU251" s="280">
        <f t="shared" si="69"/>
        <v>0</v>
      </c>
      <c r="BV251" s="322"/>
      <c r="BW251" s="320"/>
      <c r="BX251" s="320"/>
      <c r="BY251" s="320"/>
      <c r="BZ251" s="320"/>
      <c r="CA251" s="320"/>
      <c r="CB251" s="320"/>
      <c r="CC251" s="275">
        <f t="shared" si="70"/>
        <v>0</v>
      </c>
      <c r="CD251" s="98">
        <v>7.72</v>
      </c>
      <c r="CE251" s="91">
        <v>12.32</v>
      </c>
      <c r="CF251" s="91">
        <v>11.03</v>
      </c>
      <c r="CG251" s="91">
        <v>6</v>
      </c>
      <c r="CH251" s="266">
        <f t="shared" si="71"/>
        <v>77.720207253886002</v>
      </c>
      <c r="CI251" s="320"/>
      <c r="CJ251" s="280">
        <f t="shared" si="72"/>
        <v>61.721833333333336</v>
      </c>
      <c r="CK251" s="83"/>
      <c r="CL251" s="91"/>
      <c r="CM251" s="91"/>
      <c r="CN251" s="91"/>
      <c r="CO251" s="256" t="str">
        <f t="shared" si="73"/>
        <v/>
      </c>
      <c r="CP251" s="320"/>
      <c r="CQ251" s="256">
        <f t="shared" si="74"/>
        <v>0</v>
      </c>
      <c r="CR251" s="256" t="str">
        <f>IF(CO251&lt;'Look Ups'!$AC$4,"Yes","No")</f>
        <v>No</v>
      </c>
      <c r="CS251" s="293">
        <f>IF(CR251="Yes",MIN(150,('Look Ups'!$AC$4-PSCR)/('Look Ups'!$AC$4-'Look Ups'!$AC$3)*100),0)</f>
        <v>0</v>
      </c>
      <c r="CT251" s="83"/>
      <c r="CU251" s="91"/>
      <c r="CV251" s="91"/>
      <c r="CW251" s="91"/>
      <c r="CX251" s="256" t="str">
        <f t="shared" si="75"/>
        <v/>
      </c>
      <c r="CY251" s="293">
        <f>IF(PUSCR&lt;'Look Ups'!$AC$4,MIN(150,('Look Ups'!$AC$4-PUSCR)/('Look Ups'!$AC$4-'Look Ups'!$AC$3)*100),0)</f>
        <v>0</v>
      </c>
      <c r="CZ251" s="275">
        <f>IF(PUSCR&lt;'Look Ups'!$AC$4,USCRF*(USCRL1+USCRL2)/4+(USCRMG-USCRF/2)*(USCRL1+USCRL2)/3,0)</f>
        <v>0</v>
      </c>
      <c r="DA251" s="294">
        <f t="shared" si="76"/>
        <v>1</v>
      </c>
      <c r="DB251" s="256">
        <f t="shared" si="77"/>
        <v>29.777826000000005</v>
      </c>
      <c r="DC251" s="256">
        <f t="shared" si="78"/>
        <v>1</v>
      </c>
      <c r="DD251" s="256">
        <f t="shared" si="79"/>
        <v>14.317050800000001</v>
      </c>
      <c r="DE251" s="256">
        <f>IF(AZ251&gt;0,'Look Ups'!$S$3,0)</f>
        <v>1</v>
      </c>
      <c r="DF251" s="256">
        <f t="shared" si="80"/>
        <v>0</v>
      </c>
      <c r="DG251" s="256">
        <f t="shared" si="81"/>
        <v>0</v>
      </c>
      <c r="DH251" s="256">
        <f t="shared" si="82"/>
        <v>0</v>
      </c>
      <c r="DI251" s="280">
        <f t="shared" si="83"/>
        <v>0</v>
      </c>
      <c r="DJ251" s="295" t="str">
        <f t="shared" si="84"/>
        <v>-</v>
      </c>
      <c r="DK251" s="266" t="str">
        <f t="shared" si="85"/>
        <v>valid</v>
      </c>
      <c r="DL251" s="267" t="str">
        <f t="shared" si="86"/>
        <v>MGSP</v>
      </c>
      <c r="DM251" s="294">
        <f t="shared" si="87"/>
        <v>44.094876800000009</v>
      </c>
      <c r="DN251" s="256">
        <f>IF(MSASP&gt;0,'Look Ups'!$AI$4*(ZVAL*MSASP-RSAG),0)</f>
        <v>14.221434759999999</v>
      </c>
      <c r="DO251" s="256">
        <f>IF(AND(MSASC&gt;0,(MSASC&gt;=0.36*RSAM)),('Look Ups'!$AI$3*(ZVAL*MSASC-RSAG)),(0))</f>
        <v>0</v>
      </c>
      <c r="DP251" s="256">
        <f>IF(MSASP&gt;0,'Look Ups'!$AI$5*(ZVAL*MSASP-RSAG),0)</f>
        <v>13.273339109333333</v>
      </c>
      <c r="DQ251" s="256">
        <f>IF(MSASC&gt;0,'Look Ups'!$AI$6*(MSASC-RSAG),0)</f>
        <v>0</v>
      </c>
      <c r="DR251" s="280">
        <f>'Look Ups'!$AI$7*MAX(IF(MSAUSC&gt;0,EUSC/100*(MSAUSC-RSAG),0),IF(CR251="Yes",ELSC/100*(MSASC-RSAG),0))</f>
        <v>0</v>
      </c>
      <c r="DS251" s="280">
        <f t="shared" si="88"/>
        <v>10.720017360000002</v>
      </c>
      <c r="DT251" s="296">
        <f t="shared" si="89"/>
        <v>58.31631156000001</v>
      </c>
      <c r="DU251" s="14"/>
    </row>
    <row r="252" spans="1:125" ht="15.6" customHeight="1" x14ac:dyDescent="0.3">
      <c r="A252" s="4"/>
      <c r="B252" s="365"/>
      <c r="C252" s="369" t="s">
        <v>859</v>
      </c>
      <c r="D252" s="370" t="s">
        <v>860</v>
      </c>
      <c r="E252" s="371" t="s">
        <v>767</v>
      </c>
      <c r="F252" s="252">
        <f t="shared" ref="F252:F283" ca="1" si="90">IF(RW=0,0,ROUND(DLF*0.93*RL^LF*RSA^0.4/RW^0.325,3))</f>
        <v>0.997</v>
      </c>
      <c r="G252" s="252" t="str">
        <f ca="1">IF(OR(FLSCR="ERROR",FLSPI="ERROR"),"No",IF(TODAY()-'Look Ups'!$D$4*365&gt;I252,"WP Applied","Yes"))</f>
        <v>WP Applied</v>
      </c>
      <c r="H252" s="253" t="str">
        <f t="shared" ref="H252:H283" si="91">IF(SPC="","",CONCATENATE("Main-Genoa",IF(FLSCR="valid",IF(OR(CR252="Yes",MSAUSC&gt;0),"-Screacher (Upwind)","-Screacher"),""),IF(FLSPI="valid","-Spinnaker",""),IF(RSAMZ&gt;0,"-Mizzen",""),IF(RSA2M&gt;0,"-Second Main",""),IF(AS&gt;0,"-Staysail",""),IF(AD&gt;0,"-Drifter","")))</f>
        <v>Main-Genoa-Spinnaker</v>
      </c>
      <c r="I252" s="1">
        <v>36703</v>
      </c>
      <c r="J252" s="1"/>
      <c r="K252" s="87" t="s">
        <v>176</v>
      </c>
      <c r="L252" s="87" t="s">
        <v>589</v>
      </c>
      <c r="M252" s="207"/>
      <c r="N252" s="88" t="s">
        <v>208</v>
      </c>
      <c r="O252" s="88"/>
      <c r="P252" s="89"/>
      <c r="Q252" s="90">
        <v>7.96</v>
      </c>
      <c r="R252" s="87"/>
      <c r="S252" s="256">
        <f t="shared" ref="S252:S283" si="92">IF((LOAA&gt;LOA),0.025*LOAA,0.025*LOA)</f>
        <v>0.19900000000000001</v>
      </c>
      <c r="T252" s="117">
        <v>7.0000000000000007E-2</v>
      </c>
      <c r="U252" s="117">
        <v>0</v>
      </c>
      <c r="V252" s="258">
        <f t="shared" ref="V252:V283" si="93">IF((_xlfn.SINGLE(LOAA)&gt;_xlfn.SINGLE(LOA)),_xlfn.SINGLE(LOAA),_xlfn.SINGLE(LOA)-_xlfn.SINGLE(FOC)-_xlfn.SINGLE(AOC))</f>
        <v>7.89</v>
      </c>
      <c r="W252" s="259">
        <f>IF(RL&gt;0,IF(RL&gt;'Look Ups'!Y$7,'Look Ups'!Y$8,('Look Ups'!Y$3*RL^3+'Look Ups'!Y$4*RL^2+'Look Ups'!Y$5*RL+'Look Ups'!Y$6)),0)</f>
        <v>0.29341063927700001</v>
      </c>
      <c r="X252" s="92">
        <v>865</v>
      </c>
      <c r="Y252" s="263">
        <f ca="1">IF(WDATE&lt;(TODAY()-'Look Ups'!$D$4*365),-WM*'Look Ups'!$D$5/100,0)</f>
        <v>-129.75</v>
      </c>
      <c r="Z252" s="103"/>
      <c r="AA252" s="109"/>
      <c r="AB252" s="109"/>
      <c r="AC252" s="265">
        <f>WCD+NC*'Look Ups'!$AF$3</f>
        <v>0</v>
      </c>
      <c r="AD252" s="265">
        <f ca="1">IF(RL&lt;'Look Ups'!AM$3,'Look Ups'!AM$4,IF(RL&gt;'Look Ups'!AM$5,'Look Ups'!AM$6,(RL-'Look Ups'!AM$3)/('Look Ups'!AM$5-'Look Ups'!AM$3)*('Look Ups'!AM$6-'Look Ups'!AM$4)+'Look Ups'!AM$4))/100*WS</f>
        <v>188.75872727272724</v>
      </c>
      <c r="AE252" s="269">
        <f t="shared" ref="AE252:AE283" ca="1" si="94">WM+WP+WE</f>
        <v>735.25</v>
      </c>
      <c r="AF252" s="267">
        <f t="shared" ref="AF252:AF283" ca="1" si="95">_xlfn.SINGLE(WS)+IF(_xlfn.SINGLE(TCW)&gt;=_xlfn.SINGLE(CWA),_xlfn.SINGLE(CWA),_xlfn.SINGLE(TCW))</f>
        <v>735.25</v>
      </c>
      <c r="AG252" s="94" t="s">
        <v>145</v>
      </c>
      <c r="AH252" s="95" t="s">
        <v>146</v>
      </c>
      <c r="AI252" s="96" t="s">
        <v>147</v>
      </c>
      <c r="AJ252" s="218"/>
      <c r="AK252" s="273">
        <f>IF(C252="",0,VLOOKUP(AG252,'Look Ups'!$F$3:$G$6,2,0)*VLOOKUP(AH252,'Look Ups'!$I$3:$J$5,2,0)*VLOOKUP(AI252,'Look Ups'!$L$3:$M$7,2,0)*IF(AJ252="",1,VLOOKUP(AJ252,'Look Ups'!$O$3:$P$4,2,0)))</f>
        <v>1</v>
      </c>
      <c r="AL252" s="83">
        <v>10.14</v>
      </c>
      <c r="AM252" s="91">
        <v>10.06</v>
      </c>
      <c r="AN252" s="91">
        <v>3.04</v>
      </c>
      <c r="AO252" s="91">
        <v>0.14000000000000001</v>
      </c>
      <c r="AP252" s="91">
        <v>1.0900000000000001</v>
      </c>
      <c r="AQ252" s="91">
        <v>9.8800000000000008</v>
      </c>
      <c r="AR252" s="91">
        <v>0.17</v>
      </c>
      <c r="AS252" s="91">
        <v>3.12</v>
      </c>
      <c r="AT252" s="91">
        <v>0.19</v>
      </c>
      <c r="AU252" s="91">
        <v>0.49</v>
      </c>
      <c r="AV252" s="91" t="s">
        <v>148</v>
      </c>
      <c r="AW252" s="97">
        <v>0</v>
      </c>
      <c r="AX252" s="256">
        <f t="shared" ref="AX252:AX283" si="96">P+ER</f>
        <v>10.07</v>
      </c>
      <c r="AY252" s="256">
        <f t="shared" ref="AY252:AY283" si="97">P*0.375*MC</f>
        <v>1.81545</v>
      </c>
      <c r="AZ252" s="275">
        <f>IF(C252="",0,(0.5*(_ML1*LPM)+0.5*(_ML1*HB)+0.66*(P*PR)+0.66*(_ML2*RDM)+0.66*(E*ER))*VLOOKUP(BATT,'Look Ups'!$U$3:$V$4,2,0))</f>
        <v>24.859548000000004</v>
      </c>
      <c r="BA252" s="98"/>
      <c r="BB252" s="99"/>
      <c r="BC252" s="83">
        <v>8.18</v>
      </c>
      <c r="BD252" s="91">
        <v>3.52</v>
      </c>
      <c r="BE252" s="91">
        <v>4.01</v>
      </c>
      <c r="BF252" s="91">
        <v>0.2</v>
      </c>
      <c r="BG252" s="91">
        <v>7.28</v>
      </c>
      <c r="BH252" s="91"/>
      <c r="BI252" s="91"/>
      <c r="BJ252" s="91">
        <v>-0.17</v>
      </c>
      <c r="BK252" s="91">
        <v>-0.11</v>
      </c>
      <c r="BL252" s="97"/>
      <c r="BM252" s="275">
        <f t="shared" ref="BM252:BM283" si="98">(0.5*LL*LPG)+(0.5*_LG1*HG)+(0.66*LL*LLRG)+(0.66*FG*FRG)+(IF((HG&gt;0),(0.66*_LG2*LRG),(0.66*_LG1*LRG)))</f>
        <v>13.515435999999999</v>
      </c>
      <c r="BN252" s="319"/>
      <c r="BO252" s="320"/>
      <c r="BP252" s="321"/>
      <c r="BQ252" s="321"/>
      <c r="BR252" s="320"/>
      <c r="BS252" s="321"/>
      <c r="BT252" s="321"/>
      <c r="BU252" s="280">
        <f t="shared" ref="BU252:BU283" si="99">(0.5*LLS*LPS)+(0.66*LLS*LLRS)+(0.66*LS*LRS)+(0.66*FS*FRS)</f>
        <v>0</v>
      </c>
      <c r="BV252" s="322"/>
      <c r="BW252" s="320"/>
      <c r="BX252" s="320"/>
      <c r="BY252" s="320"/>
      <c r="BZ252" s="320"/>
      <c r="CA252" s="320"/>
      <c r="CB252" s="320"/>
      <c r="CC252" s="275">
        <f t="shared" ref="CC252:CC283" si="100">(0.5*LLD*LPD)+(0.66*LLD*LLRD)+(0.66*LCHD*LRD)+(0.66*FD*FRD)</f>
        <v>0</v>
      </c>
      <c r="CD252" s="98">
        <v>6.41</v>
      </c>
      <c r="CE252" s="91">
        <v>11.42</v>
      </c>
      <c r="CF252" s="91">
        <v>12.23</v>
      </c>
      <c r="CG252" s="91">
        <v>6.68</v>
      </c>
      <c r="CH252" s="266">
        <f t="shared" ref="CH252:CH283" si="101">IF(SF&gt;0,SMG/SF*100,"")</f>
        <v>104.21216848673947</v>
      </c>
      <c r="CI252" s="320"/>
      <c r="CJ252" s="280">
        <f t="shared" ref="CJ252:CJ283" si="102">SF*(_SL1+_SL2)/4+(SMG-SF/2)*(_SL1+_SL2)/3</f>
        <v>65.293708333333328</v>
      </c>
      <c r="CK252" s="83"/>
      <c r="CL252" s="91"/>
      <c r="CM252" s="91"/>
      <c r="CN252" s="91"/>
      <c r="CO252" s="256" t="str">
        <f t="shared" ref="CO252:CO283" si="103">IF(SCRF&gt;0,SCRMG/SCRF*100,"")</f>
        <v/>
      </c>
      <c r="CP252" s="320"/>
      <c r="CQ252" s="256">
        <f t="shared" ref="CQ252:CQ283" si="104">SCRF*(SCRL1+SCRL2)/4+(SCRMG-SCRF/2)*(SCRL1+SCRL2)/3</f>
        <v>0</v>
      </c>
      <c r="CR252" s="256" t="str">
        <f>IF(CO252&lt;'Look Ups'!$AC$4,"Yes","No")</f>
        <v>No</v>
      </c>
      <c r="CS252" s="293">
        <f>IF(CR252="Yes",MIN(150,('Look Ups'!$AC$4-PSCR)/('Look Ups'!$AC$4-'Look Ups'!$AC$3)*100),0)</f>
        <v>0</v>
      </c>
      <c r="CT252" s="83"/>
      <c r="CU252" s="91"/>
      <c r="CV252" s="91"/>
      <c r="CW252" s="91"/>
      <c r="CX252" s="256" t="str">
        <f t="shared" ref="CX252:CX283" si="105">IF(USCRF&gt;0,USCRMG/USCRF*100,"")</f>
        <v/>
      </c>
      <c r="CY252" s="293">
        <f>IF(PUSCR&lt;'Look Ups'!$AC$4,MIN(150,('Look Ups'!$AC$4-PUSCR)/('Look Ups'!$AC$4-'Look Ups'!$AC$3)*100),0)</f>
        <v>0</v>
      </c>
      <c r="CZ252" s="275">
        <f>IF(PUSCR&lt;'Look Ups'!$AC$4,USCRF*(USCRL1+USCRL2)/4+(USCRMG-USCRF/2)*(USCRL1+USCRL2)/3,0)</f>
        <v>0</v>
      </c>
      <c r="DA252" s="294">
        <f t="shared" ref="DA252:DA283" si="106">IF(ZVAL=1,1,IF(LPM&gt;0,0.64*((AM+MAM)/(E+(MC/2))^2)^0.3,0))</f>
        <v>1</v>
      </c>
      <c r="DB252" s="256">
        <f t="shared" ref="DB252:DB283" si="107">0.65*((AM+MAM)*EFM)+0.35*((AM+MAM)*ZVAL)</f>
        <v>26.674998000000002</v>
      </c>
      <c r="DC252" s="256">
        <f t="shared" ref="DC252:DC283" si="108">IF(ZVAL=1,1,IF(LPG&gt;0,0.72*(AG/(LPG^2))^0.3,0))</f>
        <v>1</v>
      </c>
      <c r="DD252" s="256">
        <f t="shared" ref="DD252:DD283" si="109">AG*EFG</f>
        <v>13.515435999999999</v>
      </c>
      <c r="DE252" s="256">
        <f>IF(AZ252&gt;0,'Look Ups'!$S$3,0)</f>
        <v>1</v>
      </c>
      <c r="DF252" s="256">
        <f t="shared" ref="DF252:DF283" si="110">IF(LPS&gt;0,0.72*(AS/(LPS^2))^0.3,0)</f>
        <v>0</v>
      </c>
      <c r="DG252" s="256">
        <f t="shared" ref="DG252:DG283" si="111">EFS*AS</f>
        <v>0</v>
      </c>
      <c r="DH252" s="256">
        <f t="shared" ref="DH252:DH283" si="112">IF(LPD&gt;0,0.72*(AD/(LPD^2))^0.3,0)</f>
        <v>0</v>
      </c>
      <c r="DI252" s="280">
        <f t="shared" ref="DI252:DI283" si="113">IF((AD-AG)&gt;0,0.3*(AD-AG)*EFD,0)</f>
        <v>0</v>
      </c>
      <c r="DJ252" s="295" t="str">
        <f t="shared" ref="DJ252:DJ283" si="114">IF((SCRF=0),"-",IF(AND(MSASC&gt;AG,SCRMG&lt;(0.75*SCRF)),"valid","ERROR"))</f>
        <v>-</v>
      </c>
      <c r="DK252" s="266" t="str">
        <f t="shared" ref="DK252:DK283" si="115">IF((SF=0),"-",IF((SMG&lt;(0.75*SF)),"ERROR",IF(AND(MSASP&gt;MSASC,MSASP&gt;AG,MSASP&gt;=0.36*RSAM),"valid","Small")))</f>
        <v>valid</v>
      </c>
      <c r="DL252" s="267" t="str">
        <f t="shared" ref="DL252:DL283" si="116">IF(C252="","",CONCATENATE("MG",IF(FLSCR="valid","Scr",""),IF(FLSPI="valid","SP","")))</f>
        <v>MGSP</v>
      </c>
      <c r="DM252" s="294">
        <f t="shared" ref="DM252:DM283" si="117">RSAM+RSAG</f>
        <v>40.190434000000003</v>
      </c>
      <c r="DN252" s="256">
        <f>IF(MSASP&gt;0,'Look Ups'!$AI$4*(ZVAL*MSASP-RSAG),0)</f>
        <v>15.533481699999998</v>
      </c>
      <c r="DO252" s="256">
        <f>IF(AND(MSASC&gt;0,(MSASC&gt;=0.36*RSAM)),('Look Ups'!$AI$3*(ZVAL*MSASC-RSAG)),(0))</f>
        <v>0</v>
      </c>
      <c r="DP252" s="256">
        <f>IF(MSASP&gt;0,'Look Ups'!$AI$5*(ZVAL*MSASP-RSAG),0)</f>
        <v>14.497916253333333</v>
      </c>
      <c r="DQ252" s="256">
        <f>IF(MSASC&gt;0,'Look Ups'!$AI$6*(MSASC-RSAG),0)</f>
        <v>0</v>
      </c>
      <c r="DR252" s="280">
        <f>'Look Ups'!$AI$7*MAX(IF(MSAUSC&gt;0,EUSC/100*(MSAUSC-RSAG),0),IF(CR252="Yes",ELSC/100*(MSASC-RSAG),0))</f>
        <v>0</v>
      </c>
      <c r="DS252" s="280">
        <f t="shared" ref="DS252:DS283" si="118">0.36*RSAM</f>
        <v>9.6029992800000006</v>
      </c>
      <c r="DT252" s="296">
        <f t="shared" ref="DT252:DT283" si="119">_xlfn.IFS(SPC="MG",RAMG+DS252,SPC="MGScr",RAMG+RASCO,SPC="MGSp",RAMG+RASPO,SPC="MGScrSp",RAMG+RASPSC+RASCR)+RAUSC+RSAST+RSAD+RSAMZ+RSA2M</f>
        <v>55.723915699999999</v>
      </c>
      <c r="DU252" s="14"/>
    </row>
    <row r="253" spans="1:125" ht="15.6" customHeight="1" x14ac:dyDescent="0.3">
      <c r="A253" s="4"/>
      <c r="B253" s="365"/>
      <c r="C253" s="369" t="s">
        <v>861</v>
      </c>
      <c r="D253" s="370" t="s">
        <v>862</v>
      </c>
      <c r="E253" s="371" t="s">
        <v>863</v>
      </c>
      <c r="F253" s="252">
        <f t="shared" ca="1" si="90"/>
        <v>0.90800000000000003</v>
      </c>
      <c r="G253" s="252" t="str">
        <f ca="1">IF(OR(FLSCR="ERROR",FLSPI="ERROR"),"No",IF(TODAY()-'Look Ups'!$D$4*365&gt;I253,"WP Applied","Yes"))</f>
        <v>WP Applied</v>
      </c>
      <c r="H253" s="253" t="str">
        <f t="shared" si="91"/>
        <v>Main-Genoa-Spinnaker</v>
      </c>
      <c r="I253" s="1">
        <v>39039</v>
      </c>
      <c r="J253" s="1">
        <v>39039</v>
      </c>
      <c r="K253" s="87" t="s">
        <v>240</v>
      </c>
      <c r="L253" s="87" t="s">
        <v>240</v>
      </c>
      <c r="M253" s="207"/>
      <c r="N253" s="88" t="s">
        <v>143</v>
      </c>
      <c r="O253" s="88" t="s">
        <v>154</v>
      </c>
      <c r="P253" s="89"/>
      <c r="Q253" s="90">
        <v>8.1999999999999993</v>
      </c>
      <c r="R253" s="87"/>
      <c r="S253" s="256">
        <f t="shared" si="92"/>
        <v>0.20499999999999999</v>
      </c>
      <c r="T253" s="117">
        <v>1.3000000000000001E-2</v>
      </c>
      <c r="U253" s="117">
        <v>0</v>
      </c>
      <c r="V253" s="258">
        <f t="shared" si="93"/>
        <v>8.1869999999999994</v>
      </c>
      <c r="W253" s="259">
        <f>IF(RL&gt;0,IF(RL&gt;'Look Ups'!Y$7,'Look Ups'!Y$8,('Look Ups'!Y$3*RL^3+'Look Ups'!Y$4*RL^2+'Look Ups'!Y$5*RL+'Look Ups'!Y$6)),0)</f>
        <v>0.29441748664169903</v>
      </c>
      <c r="X253" s="92">
        <v>1130</v>
      </c>
      <c r="Y253" s="263">
        <f ca="1">IF(WDATE&lt;(TODAY()-'Look Ups'!$D$4*365),-WM*'Look Ups'!$D$5/100,0)</f>
        <v>-169.5</v>
      </c>
      <c r="Z253" s="103"/>
      <c r="AA253" s="109"/>
      <c r="AB253" s="109"/>
      <c r="AC253" s="265">
        <f>WCD+NC*'Look Ups'!$AF$3</f>
        <v>0</v>
      </c>
      <c r="AD253" s="265">
        <f ca="1">IF(RL&lt;'Look Ups'!AM$3,'Look Ups'!AM$4,IF(RL&gt;'Look Ups'!AM$5,'Look Ups'!AM$6,(RL-'Look Ups'!AM$3)/('Look Ups'!AM$5-'Look Ups'!AM$3)*('Look Ups'!AM$6-'Look Ups'!AM$4)+'Look Ups'!AM$4))/100*WS</f>
        <v>236.21314545454547</v>
      </c>
      <c r="AE253" s="269">
        <f t="shared" ca="1" si="94"/>
        <v>960.5</v>
      </c>
      <c r="AF253" s="267">
        <f t="shared" ca="1" si="95"/>
        <v>960.5</v>
      </c>
      <c r="AG253" s="94" t="s">
        <v>145</v>
      </c>
      <c r="AH253" s="95" t="s">
        <v>146</v>
      </c>
      <c r="AI253" s="96" t="s">
        <v>147</v>
      </c>
      <c r="AJ253" s="218"/>
      <c r="AK253" s="273">
        <f>IF(C253="",0,VLOOKUP(AG253,'Look Ups'!$F$3:$G$6,2,0)*VLOOKUP(AH253,'Look Ups'!$I$3:$J$5,2,0)*VLOOKUP(AI253,'Look Ups'!$L$3:$M$7,2,0)*IF(AJ253="",1,VLOOKUP(AJ253,'Look Ups'!$O$3:$P$4,2,0)))</f>
        <v>1</v>
      </c>
      <c r="AL253" s="83">
        <v>10.54</v>
      </c>
      <c r="AM253" s="91">
        <v>10.29</v>
      </c>
      <c r="AN253" s="91">
        <v>3.23</v>
      </c>
      <c r="AO253" s="91">
        <v>0.66</v>
      </c>
      <c r="AP253" s="91">
        <v>0.60000000000000009</v>
      </c>
      <c r="AQ253" s="91">
        <v>10.45</v>
      </c>
      <c r="AR253" s="91">
        <v>0.16500000000000001</v>
      </c>
      <c r="AS253" s="91">
        <v>3.28</v>
      </c>
      <c r="AT253" s="91">
        <v>0</v>
      </c>
      <c r="AU253" s="91">
        <v>0.46</v>
      </c>
      <c r="AV253" s="91" t="s">
        <v>148</v>
      </c>
      <c r="AW253" s="97">
        <v>0</v>
      </c>
      <c r="AX253" s="256">
        <f t="shared" si="96"/>
        <v>10.45</v>
      </c>
      <c r="AY253" s="256">
        <f t="shared" si="97"/>
        <v>1.8026249999999999</v>
      </c>
      <c r="AZ253" s="275">
        <f>IF(C253="",0,(0.5*(_ML1*LPM)+0.5*(_ML1*HB)+0.66*(P*PR)+0.66*(_ML2*RDM)+0.66*(E*ER))*VLOOKUP(BATT,'Look Ups'!$U$3:$V$4,2,0))</f>
        <v>25.713144999999997</v>
      </c>
      <c r="BA253" s="98"/>
      <c r="BB253" s="99"/>
      <c r="BC253" s="83">
        <v>8.6999999999999993</v>
      </c>
      <c r="BD253" s="91">
        <v>2.64</v>
      </c>
      <c r="BE253" s="91">
        <v>3</v>
      </c>
      <c r="BF253" s="91">
        <v>0.17</v>
      </c>
      <c r="BG253" s="91">
        <v>7.7</v>
      </c>
      <c r="BH253" s="91"/>
      <c r="BI253" s="91"/>
      <c r="BJ253" s="91">
        <v>-0.03</v>
      </c>
      <c r="BK253" s="91">
        <v>-0.01</v>
      </c>
      <c r="BL253" s="97">
        <v>0</v>
      </c>
      <c r="BM253" s="275">
        <f t="shared" si="98"/>
        <v>11.610720000000001</v>
      </c>
      <c r="BN253" s="319"/>
      <c r="BO253" s="320"/>
      <c r="BP253" s="321"/>
      <c r="BQ253" s="321"/>
      <c r="BR253" s="320"/>
      <c r="BS253" s="321"/>
      <c r="BT253" s="321"/>
      <c r="BU253" s="280">
        <f t="shared" si="99"/>
        <v>0</v>
      </c>
      <c r="BV253" s="322"/>
      <c r="BW253" s="320"/>
      <c r="BX253" s="320"/>
      <c r="BY253" s="320"/>
      <c r="BZ253" s="320"/>
      <c r="CA253" s="320"/>
      <c r="CB253" s="320"/>
      <c r="CC253" s="275">
        <f t="shared" si="100"/>
        <v>0</v>
      </c>
      <c r="CD253" s="98">
        <v>8.15</v>
      </c>
      <c r="CE253" s="91">
        <v>11.93</v>
      </c>
      <c r="CF253" s="91">
        <v>9.43</v>
      </c>
      <c r="CG253" s="91">
        <v>6.16</v>
      </c>
      <c r="CH253" s="266">
        <f t="shared" si="101"/>
        <v>75.582822085889561</v>
      </c>
      <c r="CI253" s="320"/>
      <c r="CJ253" s="280">
        <f t="shared" si="102"/>
        <v>58.366199999999999</v>
      </c>
      <c r="CK253" s="83"/>
      <c r="CL253" s="91"/>
      <c r="CM253" s="91"/>
      <c r="CN253" s="91"/>
      <c r="CO253" s="256" t="str">
        <f t="shared" si="103"/>
        <v/>
      </c>
      <c r="CP253" s="320"/>
      <c r="CQ253" s="256">
        <f t="shared" si="104"/>
        <v>0</v>
      </c>
      <c r="CR253" s="256" t="str">
        <f>IF(CO253&lt;'Look Ups'!$AC$4,"Yes","No")</f>
        <v>No</v>
      </c>
      <c r="CS253" s="293">
        <f>IF(CR253="Yes",MIN(150,('Look Ups'!$AC$4-PSCR)/('Look Ups'!$AC$4-'Look Ups'!$AC$3)*100),0)</f>
        <v>0</v>
      </c>
      <c r="CT253" s="83"/>
      <c r="CU253" s="91"/>
      <c r="CV253" s="91"/>
      <c r="CW253" s="91"/>
      <c r="CX253" s="256" t="str">
        <f t="shared" si="105"/>
        <v/>
      </c>
      <c r="CY253" s="293">
        <f>IF(PUSCR&lt;'Look Ups'!$AC$4,MIN(150,('Look Ups'!$AC$4-PUSCR)/('Look Ups'!$AC$4-'Look Ups'!$AC$3)*100),0)</f>
        <v>0</v>
      </c>
      <c r="CZ253" s="275">
        <f>IF(PUSCR&lt;'Look Ups'!$AC$4,USCRF*(USCRL1+USCRL2)/4+(USCRMG-USCRF/2)*(USCRL1+USCRL2)/3,0)</f>
        <v>0</v>
      </c>
      <c r="DA253" s="294">
        <f t="shared" si="106"/>
        <v>1</v>
      </c>
      <c r="DB253" s="256">
        <f t="shared" si="107"/>
        <v>27.515769999999996</v>
      </c>
      <c r="DC253" s="256">
        <f t="shared" si="108"/>
        <v>1</v>
      </c>
      <c r="DD253" s="256">
        <f t="shared" si="109"/>
        <v>11.610720000000001</v>
      </c>
      <c r="DE253" s="256">
        <f>IF(AZ253&gt;0,'Look Ups'!$S$3,0)</f>
        <v>1</v>
      </c>
      <c r="DF253" s="256">
        <f t="shared" si="110"/>
        <v>0</v>
      </c>
      <c r="DG253" s="256">
        <f t="shared" si="111"/>
        <v>0</v>
      </c>
      <c r="DH253" s="256">
        <f t="shared" si="112"/>
        <v>0</v>
      </c>
      <c r="DI253" s="280">
        <f t="shared" si="113"/>
        <v>0</v>
      </c>
      <c r="DJ253" s="295" t="str">
        <f t="shared" si="114"/>
        <v>-</v>
      </c>
      <c r="DK253" s="266" t="str">
        <f t="shared" si="115"/>
        <v>valid</v>
      </c>
      <c r="DL253" s="267" t="str">
        <f t="shared" si="116"/>
        <v>MGSP</v>
      </c>
      <c r="DM253" s="294">
        <f t="shared" si="117"/>
        <v>39.126489999999997</v>
      </c>
      <c r="DN253" s="256">
        <f>IF(MSASP&gt;0,'Look Ups'!$AI$4*(ZVAL*MSASP-RSAG),0)</f>
        <v>14.026643999999999</v>
      </c>
      <c r="DO253" s="256">
        <f>IF(AND(MSASC&gt;0,(MSASC&gt;=0.36*RSAM)),('Look Ups'!$AI$3*(ZVAL*MSASC-RSAG)),(0))</f>
        <v>0</v>
      </c>
      <c r="DP253" s="256">
        <f>IF(MSASP&gt;0,'Look Ups'!$AI$5*(ZVAL*MSASP-RSAG),0)</f>
        <v>13.0915344</v>
      </c>
      <c r="DQ253" s="256">
        <f>IF(MSASC&gt;0,'Look Ups'!$AI$6*(MSASC-RSAG),0)</f>
        <v>0</v>
      </c>
      <c r="DR253" s="280">
        <f>'Look Ups'!$AI$7*MAX(IF(MSAUSC&gt;0,EUSC/100*(MSAUSC-RSAG),0),IF(CR253="Yes",ELSC/100*(MSASC-RSAG),0))</f>
        <v>0</v>
      </c>
      <c r="DS253" s="280">
        <f t="shared" si="118"/>
        <v>9.9056771999999977</v>
      </c>
      <c r="DT253" s="296">
        <f t="shared" si="119"/>
        <v>53.153133999999994</v>
      </c>
      <c r="DU253" s="14"/>
    </row>
    <row r="254" spans="1:125" ht="15.6" customHeight="1" x14ac:dyDescent="0.3">
      <c r="A254" s="4"/>
      <c r="B254" s="365"/>
      <c r="C254" s="369" t="s">
        <v>864</v>
      </c>
      <c r="D254" s="370" t="s">
        <v>294</v>
      </c>
      <c r="E254" s="371" t="s">
        <v>865</v>
      </c>
      <c r="F254" s="252">
        <f t="shared" ca="1" si="90"/>
        <v>0.86599999999999999</v>
      </c>
      <c r="G254" s="252" t="str">
        <f ca="1">IF(OR(FLSCR="ERROR",FLSPI="ERROR"),"No",IF(TODAY()-'Look Ups'!$D$4*365&gt;I254,"WP Applied","Yes"))</f>
        <v>WP Applied</v>
      </c>
      <c r="H254" s="253" t="str">
        <f t="shared" si="91"/>
        <v>Main-Genoa-Spinnaker</v>
      </c>
      <c r="I254" s="1">
        <v>38290</v>
      </c>
      <c r="J254" s="1"/>
      <c r="K254" s="87" t="s">
        <v>866</v>
      </c>
      <c r="L254" s="87" t="s">
        <v>641</v>
      </c>
      <c r="M254" s="207"/>
      <c r="N254" s="88" t="s">
        <v>271</v>
      </c>
      <c r="O254" s="88"/>
      <c r="P254" s="89">
        <v>6.1</v>
      </c>
      <c r="Q254" s="90">
        <v>8.74</v>
      </c>
      <c r="R254" s="87"/>
      <c r="S254" s="256">
        <f t="shared" si="92"/>
        <v>0.21850000000000003</v>
      </c>
      <c r="T254" s="117">
        <v>0.23</v>
      </c>
      <c r="U254" s="117">
        <v>0</v>
      </c>
      <c r="V254" s="258">
        <f t="shared" si="93"/>
        <v>8.51</v>
      </c>
      <c r="W254" s="259">
        <f>IF(RL&gt;0,IF(RL&gt;'Look Ups'!Y$7,'Look Ups'!Y$8,('Look Ups'!Y$3*RL^3+'Look Ups'!Y$4*RL^2+'Look Ups'!Y$5*RL+'Look Ups'!Y$6)),0)</f>
        <v>0.29539459668300005</v>
      </c>
      <c r="X254" s="92">
        <v>1665</v>
      </c>
      <c r="Y254" s="263">
        <f ca="1">IF(WDATE&lt;(TODAY()-'Look Ups'!$D$4*365),-WM*'Look Ups'!$D$5/100,0)</f>
        <v>-249.75</v>
      </c>
      <c r="Z254" s="103"/>
      <c r="AA254" s="109"/>
      <c r="AB254" s="109"/>
      <c r="AC254" s="265">
        <f>WCD+NC*'Look Ups'!$AF$3</f>
        <v>0</v>
      </c>
      <c r="AD254" s="265">
        <f ca="1">IF(RL&lt;'Look Ups'!AM$3,'Look Ups'!AM$4,IF(RL&gt;'Look Ups'!AM$5,'Look Ups'!AM$6,(RL-'Look Ups'!AM$3)/('Look Ups'!AM$5-'Look Ups'!AM$3)*('Look Ups'!AM$6-'Look Ups'!AM$4)+'Look Ups'!AM$4))/100*WS</f>
        <v>331.42581818181822</v>
      </c>
      <c r="AE254" s="269">
        <f t="shared" ca="1" si="94"/>
        <v>1415.25</v>
      </c>
      <c r="AF254" s="267">
        <f t="shared" ca="1" si="95"/>
        <v>1415.25</v>
      </c>
      <c r="AG254" s="94" t="s">
        <v>145</v>
      </c>
      <c r="AH254" s="95" t="s">
        <v>146</v>
      </c>
      <c r="AI254" s="96" t="s">
        <v>147</v>
      </c>
      <c r="AJ254" s="218"/>
      <c r="AK254" s="273">
        <f>IF(C254="",0,VLOOKUP(AG254,'Look Ups'!$F$3:$G$6,2,0)*VLOOKUP(AH254,'Look Ups'!$I$3:$J$5,2,0)*VLOOKUP(AI254,'Look Ups'!$L$3:$M$7,2,0)*IF(AJ254="",1,VLOOKUP(AJ254,'Look Ups'!$O$3:$P$4,2,0)))</f>
        <v>1</v>
      </c>
      <c r="AL254" s="83">
        <v>10.6</v>
      </c>
      <c r="AM254" s="91">
        <v>10.3</v>
      </c>
      <c r="AN254" s="91">
        <v>3.53</v>
      </c>
      <c r="AO254" s="91">
        <v>0.83</v>
      </c>
      <c r="AP254" s="91">
        <v>0.74</v>
      </c>
      <c r="AQ254" s="91">
        <v>10.27</v>
      </c>
      <c r="AR254" s="91">
        <v>0.12</v>
      </c>
      <c r="AS254" s="91">
        <v>3.68</v>
      </c>
      <c r="AT254" s="91">
        <v>0.05</v>
      </c>
      <c r="AU254" s="91">
        <v>0.45</v>
      </c>
      <c r="AV254" s="91" t="s">
        <v>148</v>
      </c>
      <c r="AW254" s="97">
        <v>0</v>
      </c>
      <c r="AX254" s="256">
        <f t="shared" si="96"/>
        <v>10.32</v>
      </c>
      <c r="AY254" s="256">
        <f t="shared" si="97"/>
        <v>1.7330625</v>
      </c>
      <c r="AZ254" s="275">
        <f>IF(C254="",0,(0.5*(_ML1*LPM)+0.5*(_ML1*HB)+0.66*(P*PR)+0.66*(_ML2*RDM)+0.66*(E*ER))*VLOOKUP(BATT,'Look Ups'!$U$3:$V$4,2,0))</f>
        <v>29.073343999999999</v>
      </c>
      <c r="BA254" s="98"/>
      <c r="BB254" s="99"/>
      <c r="BC254" s="83">
        <v>9.15</v>
      </c>
      <c r="BD254" s="91">
        <v>3.38</v>
      </c>
      <c r="BE254" s="91">
        <v>3.76</v>
      </c>
      <c r="BF254" s="91">
        <v>0.06</v>
      </c>
      <c r="BG254" s="91">
        <v>8.2100000000000009</v>
      </c>
      <c r="BH254" s="91"/>
      <c r="BI254" s="91"/>
      <c r="BJ254" s="91">
        <v>-0.05</v>
      </c>
      <c r="BK254" s="91">
        <v>0</v>
      </c>
      <c r="BL254" s="97"/>
      <c r="BM254" s="275">
        <f t="shared" si="98"/>
        <v>15.341466</v>
      </c>
      <c r="BN254" s="319"/>
      <c r="BO254" s="320"/>
      <c r="BP254" s="321"/>
      <c r="BQ254" s="321"/>
      <c r="BR254" s="320"/>
      <c r="BS254" s="321"/>
      <c r="BT254" s="321"/>
      <c r="BU254" s="280">
        <f t="shared" si="99"/>
        <v>0</v>
      </c>
      <c r="BV254" s="322"/>
      <c r="BW254" s="320"/>
      <c r="BX254" s="320"/>
      <c r="BY254" s="320"/>
      <c r="BZ254" s="320"/>
      <c r="CA254" s="320"/>
      <c r="CB254" s="320"/>
      <c r="CC254" s="275">
        <f t="shared" si="100"/>
        <v>0</v>
      </c>
      <c r="CD254" s="98">
        <v>8.32</v>
      </c>
      <c r="CE254" s="91">
        <v>12.26</v>
      </c>
      <c r="CF254" s="91">
        <v>10.94</v>
      </c>
      <c r="CG254" s="91">
        <v>6.96</v>
      </c>
      <c r="CH254" s="266">
        <f t="shared" si="101"/>
        <v>83.653846153846146</v>
      </c>
      <c r="CI254" s="320"/>
      <c r="CJ254" s="280">
        <f t="shared" si="102"/>
        <v>69.909333333333336</v>
      </c>
      <c r="CK254" s="83"/>
      <c r="CL254" s="91"/>
      <c r="CM254" s="91"/>
      <c r="CN254" s="91"/>
      <c r="CO254" s="256" t="str">
        <f t="shared" si="103"/>
        <v/>
      </c>
      <c r="CP254" s="320"/>
      <c r="CQ254" s="256">
        <f t="shared" si="104"/>
        <v>0</v>
      </c>
      <c r="CR254" s="256" t="str">
        <f>IF(CO254&lt;'Look Ups'!$AC$4,"Yes","No")</f>
        <v>No</v>
      </c>
      <c r="CS254" s="293">
        <f>IF(CR254="Yes",MIN(150,('Look Ups'!$AC$4-PSCR)/('Look Ups'!$AC$4-'Look Ups'!$AC$3)*100),0)</f>
        <v>0</v>
      </c>
      <c r="CT254" s="83"/>
      <c r="CU254" s="91"/>
      <c r="CV254" s="91"/>
      <c r="CW254" s="91"/>
      <c r="CX254" s="256" t="str">
        <f t="shared" si="105"/>
        <v/>
      </c>
      <c r="CY254" s="293">
        <f>IF(PUSCR&lt;'Look Ups'!$AC$4,MIN(150,('Look Ups'!$AC$4-PUSCR)/('Look Ups'!$AC$4-'Look Ups'!$AC$3)*100),0)</f>
        <v>0</v>
      </c>
      <c r="CZ254" s="275">
        <f>IF(PUSCR&lt;'Look Ups'!$AC$4,USCRF*(USCRL1+USCRL2)/4+(USCRMG-USCRF/2)*(USCRL1+USCRL2)/3,0)</f>
        <v>0</v>
      </c>
      <c r="DA254" s="294">
        <f t="shared" si="106"/>
        <v>1</v>
      </c>
      <c r="DB254" s="256">
        <f t="shared" si="107"/>
        <v>30.806406499999998</v>
      </c>
      <c r="DC254" s="256">
        <f t="shared" si="108"/>
        <v>1</v>
      </c>
      <c r="DD254" s="256">
        <f t="shared" si="109"/>
        <v>15.341466</v>
      </c>
      <c r="DE254" s="256">
        <f>IF(AZ254&gt;0,'Look Ups'!$S$3,0)</f>
        <v>1</v>
      </c>
      <c r="DF254" s="256">
        <f t="shared" si="110"/>
        <v>0</v>
      </c>
      <c r="DG254" s="256">
        <f t="shared" si="111"/>
        <v>0</v>
      </c>
      <c r="DH254" s="256">
        <f t="shared" si="112"/>
        <v>0</v>
      </c>
      <c r="DI254" s="280">
        <f t="shared" si="113"/>
        <v>0</v>
      </c>
      <c r="DJ254" s="295" t="str">
        <f t="shared" si="114"/>
        <v>-</v>
      </c>
      <c r="DK254" s="266" t="str">
        <f t="shared" si="115"/>
        <v>valid</v>
      </c>
      <c r="DL254" s="267" t="str">
        <f t="shared" si="116"/>
        <v>MGSP</v>
      </c>
      <c r="DM254" s="294">
        <f t="shared" si="117"/>
        <v>46.147872499999998</v>
      </c>
      <c r="DN254" s="256">
        <f>IF(MSASP&gt;0,'Look Ups'!$AI$4*(ZVAL*MSASP-RSAG),0)</f>
        <v>16.3703602</v>
      </c>
      <c r="DO254" s="256">
        <f>IF(AND(MSASC&gt;0,(MSASC&gt;=0.36*RSAM)),('Look Ups'!$AI$3*(ZVAL*MSASC-RSAG)),(0))</f>
        <v>0</v>
      </c>
      <c r="DP254" s="256">
        <f>IF(MSASP&gt;0,'Look Ups'!$AI$5*(ZVAL*MSASP-RSAG),0)</f>
        <v>15.279002853333337</v>
      </c>
      <c r="DQ254" s="256">
        <f>IF(MSASC&gt;0,'Look Ups'!$AI$6*(MSASC-RSAG),0)</f>
        <v>0</v>
      </c>
      <c r="DR254" s="280">
        <f>'Look Ups'!$AI$7*MAX(IF(MSAUSC&gt;0,EUSC/100*(MSAUSC-RSAG),0),IF(CR254="Yes",ELSC/100*(MSASC-RSAG),0))</f>
        <v>0</v>
      </c>
      <c r="DS254" s="280">
        <f t="shared" si="118"/>
        <v>11.090306339999998</v>
      </c>
      <c r="DT254" s="296">
        <f t="shared" si="119"/>
        <v>62.518232699999999</v>
      </c>
      <c r="DU254" s="14"/>
    </row>
    <row r="255" spans="1:125" ht="15.6" customHeight="1" x14ac:dyDescent="0.3">
      <c r="A255" s="4"/>
      <c r="B255" s="365"/>
      <c r="C255" s="369" t="s">
        <v>868</v>
      </c>
      <c r="D255" s="370"/>
      <c r="E255" s="371" t="s">
        <v>869</v>
      </c>
      <c r="F255" s="252">
        <f t="shared" ca="1" si="90"/>
        <v>1.077</v>
      </c>
      <c r="G255" s="252" t="str">
        <f ca="1">IF(OR(FLSCR="ERROR",FLSPI="ERROR"),"No",IF(TODAY()-'Look Ups'!$D$4*365&gt;I255,"WP Applied","Yes"))</f>
        <v>WP Applied</v>
      </c>
      <c r="H255" s="253" t="str">
        <f t="shared" si="91"/>
        <v>Main-Genoa-Spinnaker</v>
      </c>
      <c r="I255" s="1">
        <v>39334</v>
      </c>
      <c r="J255" s="1">
        <v>40035</v>
      </c>
      <c r="K255" s="87" t="s">
        <v>870</v>
      </c>
      <c r="L255" s="87" t="s">
        <v>241</v>
      </c>
      <c r="M255" s="207"/>
      <c r="N255" s="88" t="s">
        <v>165</v>
      </c>
      <c r="O255" s="88"/>
      <c r="P255" s="89"/>
      <c r="Q255" s="90">
        <v>10</v>
      </c>
      <c r="R255" s="87"/>
      <c r="S255" s="256">
        <f t="shared" si="92"/>
        <v>0.25</v>
      </c>
      <c r="T255" s="117">
        <v>0.05</v>
      </c>
      <c r="U255" s="117">
        <v>0</v>
      </c>
      <c r="V255" s="258">
        <f t="shared" si="93"/>
        <v>9.9499999999999993</v>
      </c>
      <c r="W255" s="259">
        <f>IF(RL&gt;0,IF(RL&gt;'Look Ups'!Y$7,'Look Ups'!Y$8,('Look Ups'!Y$3*RL^3+'Look Ups'!Y$4*RL^2+'Look Ups'!Y$5*RL+'Look Ups'!Y$6)),0)</f>
        <v>0.29842897087500003</v>
      </c>
      <c r="X255" s="92">
        <v>1670</v>
      </c>
      <c r="Y255" s="263">
        <f ca="1">IF(WDATE&lt;(TODAY()-'Look Ups'!$D$4*365),-WM*'Look Ups'!$D$5/100,0)</f>
        <v>-250.5</v>
      </c>
      <c r="Z255" s="103"/>
      <c r="AA255" s="109"/>
      <c r="AB255" s="109"/>
      <c r="AC255" s="265">
        <f>WCD+NC*'Look Ups'!$AF$3</f>
        <v>0</v>
      </c>
      <c r="AD255" s="265">
        <f ca="1">IF(RL&lt;'Look Ups'!AM$3,'Look Ups'!AM$4,IF(RL&gt;'Look Ups'!AM$5,'Look Ups'!AM$6,(RL-'Look Ups'!AM$3)/('Look Ups'!AM$5-'Look Ups'!AM$3)*('Look Ups'!AM$6-'Look Ups'!AM$4)+'Look Ups'!AM$4))/100*WS</f>
        <v>258.09090909090912</v>
      </c>
      <c r="AE255" s="269">
        <f t="shared" ca="1" si="94"/>
        <v>1419.5</v>
      </c>
      <c r="AF255" s="267">
        <f t="shared" ca="1" si="95"/>
        <v>1419.5</v>
      </c>
      <c r="AG255" s="94" t="s">
        <v>145</v>
      </c>
      <c r="AH255" s="95" t="s">
        <v>146</v>
      </c>
      <c r="AI255" s="96" t="s">
        <v>147</v>
      </c>
      <c r="AJ255" s="218"/>
      <c r="AK255" s="273">
        <f>IF(C255="",0,VLOOKUP(AG255,'Look Ups'!$F$3:$G$6,2,0)*VLOOKUP(AH255,'Look Ups'!$I$3:$J$5,2,0)*VLOOKUP(AI255,'Look Ups'!$L$3:$M$7,2,0)*IF(AJ255="",1,VLOOKUP(AJ255,'Look Ups'!$O$3:$P$4,2,0)))</f>
        <v>1</v>
      </c>
      <c r="AL255" s="83">
        <v>13.52</v>
      </c>
      <c r="AM255" s="91">
        <v>13.16</v>
      </c>
      <c r="AN255" s="91">
        <v>3.97</v>
      </c>
      <c r="AO255" s="91">
        <v>1.56</v>
      </c>
      <c r="AP255" s="91">
        <v>0.57999999999999996</v>
      </c>
      <c r="AQ255" s="91">
        <v>13.36</v>
      </c>
      <c r="AR255" s="91">
        <v>0.28000000000000003</v>
      </c>
      <c r="AS255" s="91">
        <v>4.08</v>
      </c>
      <c r="AT255" s="91">
        <v>0.04</v>
      </c>
      <c r="AU255" s="91">
        <v>0.55000000000000004</v>
      </c>
      <c r="AV255" s="91" t="s">
        <v>148</v>
      </c>
      <c r="AW255" s="97">
        <v>0</v>
      </c>
      <c r="AX255" s="256">
        <f t="shared" si="96"/>
        <v>13.399999999999999</v>
      </c>
      <c r="AY255" s="256">
        <f t="shared" si="97"/>
        <v>2.7555000000000001</v>
      </c>
      <c r="AZ255" s="275">
        <f>IF(C255="",0,(0.5*(_ML1*LPM)+0.5*(_ML1*HB)+0.66*(P*PR)+0.66*(_ML2*RDM)+0.66*(E*ER))*VLOOKUP(BATT,'Look Ups'!$U$3:$V$4,2,0))</f>
        <v>44.997087999999998</v>
      </c>
      <c r="BA255" s="98"/>
      <c r="BB255" s="99"/>
      <c r="BC255" s="83">
        <v>12.22</v>
      </c>
      <c r="BD255" s="91">
        <v>3.66</v>
      </c>
      <c r="BE255" s="91">
        <v>4.04</v>
      </c>
      <c r="BF255" s="91">
        <v>0.15</v>
      </c>
      <c r="BG255" s="91">
        <v>11.04</v>
      </c>
      <c r="BH255" s="91"/>
      <c r="BI255" s="91"/>
      <c r="BJ255" s="91">
        <v>0.22</v>
      </c>
      <c r="BK255" s="91">
        <v>0.02</v>
      </c>
      <c r="BL255" s="97">
        <v>0</v>
      </c>
      <c r="BM255" s="275">
        <f t="shared" si="98"/>
        <v>24.526872000000001</v>
      </c>
      <c r="BN255" s="319"/>
      <c r="BO255" s="320"/>
      <c r="BP255" s="321"/>
      <c r="BQ255" s="321"/>
      <c r="BR255" s="320"/>
      <c r="BS255" s="321"/>
      <c r="BT255" s="321"/>
      <c r="BU255" s="280">
        <f t="shared" si="99"/>
        <v>0</v>
      </c>
      <c r="BV255" s="322"/>
      <c r="BW255" s="320"/>
      <c r="BX255" s="320"/>
      <c r="BY255" s="320"/>
      <c r="BZ255" s="320"/>
      <c r="CA255" s="320"/>
      <c r="CB255" s="320"/>
      <c r="CC255" s="275">
        <f t="shared" si="100"/>
        <v>0</v>
      </c>
      <c r="CD255" s="98">
        <v>9.1999999999999993</v>
      </c>
      <c r="CE255" s="91">
        <v>14.6</v>
      </c>
      <c r="CF255" s="91">
        <v>12.95</v>
      </c>
      <c r="CG255" s="91">
        <v>8.4600000000000009</v>
      </c>
      <c r="CH255" s="266">
        <f t="shared" si="101"/>
        <v>91.956521739130451</v>
      </c>
      <c r="CI255" s="320"/>
      <c r="CJ255" s="280">
        <f t="shared" si="102"/>
        <v>98.812666666666658</v>
      </c>
      <c r="CK255" s="83"/>
      <c r="CL255" s="91"/>
      <c r="CM255" s="91"/>
      <c r="CN255" s="91"/>
      <c r="CO255" s="256" t="str">
        <f t="shared" si="103"/>
        <v/>
      </c>
      <c r="CP255" s="320"/>
      <c r="CQ255" s="256">
        <f t="shared" si="104"/>
        <v>0</v>
      </c>
      <c r="CR255" s="256" t="str">
        <f>IF(CO255&lt;'Look Ups'!$AC$4,"Yes","No")</f>
        <v>No</v>
      </c>
      <c r="CS255" s="293">
        <f>IF(CR255="Yes",MIN(150,('Look Ups'!$AC$4-PSCR)/('Look Ups'!$AC$4-'Look Ups'!$AC$3)*100),0)</f>
        <v>0</v>
      </c>
      <c r="CT255" s="83"/>
      <c r="CU255" s="91"/>
      <c r="CV255" s="91"/>
      <c r="CW255" s="91"/>
      <c r="CX255" s="256" t="str">
        <f t="shared" si="105"/>
        <v/>
      </c>
      <c r="CY255" s="293">
        <f>IF(PUSCR&lt;'Look Ups'!$AC$4,MIN(150,('Look Ups'!$AC$4-PUSCR)/('Look Ups'!$AC$4-'Look Ups'!$AC$3)*100),0)</f>
        <v>0</v>
      </c>
      <c r="CZ255" s="275">
        <f>IF(PUSCR&lt;'Look Ups'!$AC$4,USCRF*(USCRL1+USCRL2)/4+(USCRMG-USCRF/2)*(USCRL1+USCRL2)/3,0)</f>
        <v>0</v>
      </c>
      <c r="DA255" s="294">
        <f t="shared" si="106"/>
        <v>1</v>
      </c>
      <c r="DB255" s="256">
        <f t="shared" si="107"/>
        <v>47.752587999999996</v>
      </c>
      <c r="DC255" s="256">
        <f t="shared" si="108"/>
        <v>1</v>
      </c>
      <c r="DD255" s="256">
        <f t="shared" si="109"/>
        <v>24.526872000000001</v>
      </c>
      <c r="DE255" s="256">
        <f>IF(AZ255&gt;0,'Look Ups'!$S$3,0)</f>
        <v>1</v>
      </c>
      <c r="DF255" s="256">
        <f t="shared" si="110"/>
        <v>0</v>
      </c>
      <c r="DG255" s="256">
        <f t="shared" si="111"/>
        <v>0</v>
      </c>
      <c r="DH255" s="256">
        <f t="shared" si="112"/>
        <v>0</v>
      </c>
      <c r="DI255" s="280">
        <f t="shared" si="113"/>
        <v>0</v>
      </c>
      <c r="DJ255" s="295" t="str">
        <f t="shared" si="114"/>
        <v>-</v>
      </c>
      <c r="DK255" s="266" t="str">
        <f t="shared" si="115"/>
        <v>valid</v>
      </c>
      <c r="DL255" s="267" t="str">
        <f t="shared" si="116"/>
        <v>MGSP</v>
      </c>
      <c r="DM255" s="294">
        <f t="shared" si="117"/>
        <v>72.27946</v>
      </c>
      <c r="DN255" s="256">
        <f>IF(MSASP&gt;0,'Look Ups'!$AI$4*(ZVAL*MSASP-RSAG),0)</f>
        <v>22.285738399999996</v>
      </c>
      <c r="DO255" s="256">
        <f>IF(AND(MSASC&gt;0,(MSASC&gt;=0.36*RSAM)),('Look Ups'!$AI$3*(ZVAL*MSASC-RSAG)),(0))</f>
        <v>0</v>
      </c>
      <c r="DP255" s="256">
        <f>IF(MSASP&gt;0,'Look Ups'!$AI$5*(ZVAL*MSASP-RSAG),0)</f>
        <v>20.800022506666668</v>
      </c>
      <c r="DQ255" s="256">
        <f>IF(MSASC&gt;0,'Look Ups'!$AI$6*(MSASC-RSAG),0)</f>
        <v>0</v>
      </c>
      <c r="DR255" s="280">
        <f>'Look Ups'!$AI$7*MAX(IF(MSAUSC&gt;0,EUSC/100*(MSAUSC-RSAG),0),IF(CR255="Yes",ELSC/100*(MSASC-RSAG),0))</f>
        <v>0</v>
      </c>
      <c r="DS255" s="280">
        <f t="shared" si="118"/>
        <v>17.190931679999998</v>
      </c>
      <c r="DT255" s="296">
        <f t="shared" si="119"/>
        <v>94.5651984</v>
      </c>
      <c r="DU255" s="14"/>
    </row>
    <row r="256" spans="1:125" ht="15.6" customHeight="1" x14ac:dyDescent="0.3">
      <c r="A256" s="4"/>
      <c r="B256" s="365"/>
      <c r="C256" s="369" t="s">
        <v>871</v>
      </c>
      <c r="D256" s="370" t="s">
        <v>872</v>
      </c>
      <c r="E256" s="371" t="s">
        <v>873</v>
      </c>
      <c r="F256" s="252">
        <f t="shared" ca="1" si="90"/>
        <v>0.83699999999999997</v>
      </c>
      <c r="G256" s="252" t="str">
        <f ca="1">IF(OR(FLSCR="ERROR",FLSPI="ERROR"),"No",IF(TODAY()-'Look Ups'!$D$4*365&gt;I256,"WP Applied","Yes"))</f>
        <v>WP Applied</v>
      </c>
      <c r="H256" s="253" t="str">
        <f t="shared" si="91"/>
        <v>Main-Genoa-Spinnaker</v>
      </c>
      <c r="I256" s="1">
        <v>36586</v>
      </c>
      <c r="J256" s="1"/>
      <c r="K256" s="87" t="s">
        <v>805</v>
      </c>
      <c r="L256" s="87" t="s">
        <v>270</v>
      </c>
      <c r="M256" s="207"/>
      <c r="N256" s="88" t="s">
        <v>165</v>
      </c>
      <c r="O256" s="88"/>
      <c r="P256" s="89">
        <v>6.7</v>
      </c>
      <c r="Q256" s="90">
        <v>12.68</v>
      </c>
      <c r="R256" s="87"/>
      <c r="S256" s="256">
        <f t="shared" si="92"/>
        <v>0.317</v>
      </c>
      <c r="T256" s="117">
        <v>0.14000000000000001</v>
      </c>
      <c r="U256" s="117">
        <v>0</v>
      </c>
      <c r="V256" s="258">
        <f t="shared" si="93"/>
        <v>12.54</v>
      </c>
      <c r="W256" s="259">
        <f>IF(RL&gt;0,IF(RL&gt;'Look Ups'!Y$7,'Look Ups'!Y$8,('Look Ups'!Y$3*RL^3+'Look Ups'!Y$4*RL^2+'Look Ups'!Y$5*RL+'Look Ups'!Y$6)),0)</f>
        <v>0.3</v>
      </c>
      <c r="X256" s="92">
        <v>5091</v>
      </c>
      <c r="Y256" s="263">
        <f ca="1">IF(WDATE&lt;(TODAY()-'Look Ups'!$D$4*365),-WM*'Look Ups'!$D$5/100,0)</f>
        <v>-763.65</v>
      </c>
      <c r="Z256" s="103"/>
      <c r="AA256" s="109"/>
      <c r="AB256" s="109"/>
      <c r="AC256" s="265">
        <f>WCD+NC*'Look Ups'!$AF$3</f>
        <v>0</v>
      </c>
      <c r="AD256" s="265">
        <f ca="1">IF(RL&lt;'Look Ups'!AM$3,'Look Ups'!AM$4,IF(RL&gt;'Look Ups'!AM$5,'Look Ups'!AM$6,(RL-'Look Ups'!AM$3)/('Look Ups'!AM$5-'Look Ups'!AM$3)*('Look Ups'!AM$6-'Look Ups'!AM$4)+'Look Ups'!AM$4))/100*WS</f>
        <v>432.73500000000007</v>
      </c>
      <c r="AE256" s="269">
        <f t="shared" ca="1" si="94"/>
        <v>4327.3500000000004</v>
      </c>
      <c r="AF256" s="267">
        <f t="shared" ca="1" si="95"/>
        <v>4327.3500000000004</v>
      </c>
      <c r="AG256" s="94" t="s">
        <v>145</v>
      </c>
      <c r="AH256" s="95" t="s">
        <v>146</v>
      </c>
      <c r="AI256" s="96" t="s">
        <v>177</v>
      </c>
      <c r="AJ256" s="218"/>
      <c r="AK256" s="273">
        <f>IF(C256="",0,VLOOKUP(AG256,'Look Ups'!$F$3:$G$6,2,0)*VLOOKUP(AH256,'Look Ups'!$I$3:$J$5,2,0)*VLOOKUP(AI256,'Look Ups'!$L$3:$M$7,2,0)*IF(AJ256="",1,VLOOKUP(AJ256,'Look Ups'!$O$3:$P$4,2,0)))</f>
        <v>0.99</v>
      </c>
      <c r="AL256" s="83">
        <v>14.41</v>
      </c>
      <c r="AM256" s="91">
        <v>14.35</v>
      </c>
      <c r="AN256" s="91">
        <v>4.33</v>
      </c>
      <c r="AO256" s="91">
        <v>0.19</v>
      </c>
      <c r="AP256" s="91">
        <v>1.32</v>
      </c>
      <c r="AQ256" s="91">
        <v>13.89</v>
      </c>
      <c r="AR256" s="91">
        <v>0.17</v>
      </c>
      <c r="AS256" s="91">
        <v>4.57</v>
      </c>
      <c r="AT256" s="91">
        <v>0.17</v>
      </c>
      <c r="AU256" s="91">
        <v>0.63</v>
      </c>
      <c r="AV256" s="91" t="s">
        <v>148</v>
      </c>
      <c r="AW256" s="97">
        <v>0</v>
      </c>
      <c r="AX256" s="256">
        <f t="shared" si="96"/>
        <v>14.06</v>
      </c>
      <c r="AY256" s="256">
        <f t="shared" si="97"/>
        <v>3.2815125000000003</v>
      </c>
      <c r="AZ256" s="275">
        <f>IF(C256="",0,(0.5*(_ML1*LPM)+0.5*(_ML1*HB)+0.66*(P*PR)+0.66*(_ML2*RDM)+0.66*(E*ER))*VLOOKUP(BATT,'Look Ups'!$U$3:$V$4,2,0))</f>
        <v>47.139532000000003</v>
      </c>
      <c r="BA256" s="98"/>
      <c r="BB256" s="99"/>
      <c r="BC256" s="83">
        <v>12.3</v>
      </c>
      <c r="BD256" s="91">
        <v>5.9</v>
      </c>
      <c r="BE256" s="91">
        <v>6.65</v>
      </c>
      <c r="BF256" s="91">
        <v>0.24</v>
      </c>
      <c r="BG256" s="91">
        <v>10.9</v>
      </c>
      <c r="BH256" s="91"/>
      <c r="BI256" s="91"/>
      <c r="BJ256" s="91">
        <v>-0.22</v>
      </c>
      <c r="BK256" s="91">
        <v>0</v>
      </c>
      <c r="BL256" s="97"/>
      <c r="BM256" s="275">
        <f t="shared" si="98"/>
        <v>35.755679999999998</v>
      </c>
      <c r="BN256" s="319"/>
      <c r="BO256" s="320"/>
      <c r="BP256" s="321"/>
      <c r="BQ256" s="321"/>
      <c r="BR256" s="320"/>
      <c r="BS256" s="321"/>
      <c r="BT256" s="321"/>
      <c r="BU256" s="280">
        <f t="shared" si="99"/>
        <v>0</v>
      </c>
      <c r="BV256" s="322"/>
      <c r="BW256" s="320"/>
      <c r="BX256" s="320"/>
      <c r="BY256" s="320"/>
      <c r="BZ256" s="320"/>
      <c r="CA256" s="320"/>
      <c r="CB256" s="320"/>
      <c r="CC256" s="275">
        <f t="shared" si="100"/>
        <v>0</v>
      </c>
      <c r="CD256" s="98">
        <v>8.77</v>
      </c>
      <c r="CE256" s="91">
        <v>14.42</v>
      </c>
      <c r="CF256" s="91">
        <v>14.42</v>
      </c>
      <c r="CG256" s="91">
        <v>8.6</v>
      </c>
      <c r="CH256" s="266">
        <f t="shared" si="101"/>
        <v>98.061573546180156</v>
      </c>
      <c r="CI256" s="320"/>
      <c r="CJ256" s="280">
        <f t="shared" si="102"/>
        <v>103.75189999999999</v>
      </c>
      <c r="CK256" s="83"/>
      <c r="CL256" s="91"/>
      <c r="CM256" s="91"/>
      <c r="CN256" s="91"/>
      <c r="CO256" s="256" t="str">
        <f t="shared" si="103"/>
        <v/>
      </c>
      <c r="CP256" s="320"/>
      <c r="CQ256" s="256">
        <f t="shared" si="104"/>
        <v>0</v>
      </c>
      <c r="CR256" s="256" t="str">
        <f>IF(CO256&lt;'Look Ups'!$AC$4,"Yes","No")</f>
        <v>No</v>
      </c>
      <c r="CS256" s="293">
        <f>IF(CR256="Yes",MIN(150,('Look Ups'!$AC$4-PSCR)/('Look Ups'!$AC$4-'Look Ups'!$AC$3)*100),0)</f>
        <v>0</v>
      </c>
      <c r="CT256" s="83"/>
      <c r="CU256" s="91"/>
      <c r="CV256" s="91"/>
      <c r="CW256" s="91"/>
      <c r="CX256" s="256" t="str">
        <f t="shared" si="105"/>
        <v/>
      </c>
      <c r="CY256" s="293">
        <f>IF(PUSCR&lt;'Look Ups'!$AC$4,MIN(150,('Look Ups'!$AC$4-PUSCR)/('Look Ups'!$AC$4-'Look Ups'!$AC$3)*100),0)</f>
        <v>0</v>
      </c>
      <c r="CZ256" s="275">
        <f>IF(PUSCR&lt;'Look Ups'!$AC$4,USCRF*(USCRL1+USCRL2)/4+(USCRMG-USCRF/2)*(USCRL1+USCRL2)/3,0)</f>
        <v>0</v>
      </c>
      <c r="DA256" s="294">
        <f t="shared" si="106"/>
        <v>1</v>
      </c>
      <c r="DB256" s="256">
        <f t="shared" si="107"/>
        <v>50.421044499999994</v>
      </c>
      <c r="DC256" s="256">
        <f t="shared" si="108"/>
        <v>1</v>
      </c>
      <c r="DD256" s="256">
        <f t="shared" si="109"/>
        <v>35.755679999999998</v>
      </c>
      <c r="DE256" s="256">
        <f>IF(AZ256&gt;0,'Look Ups'!$S$3,0)</f>
        <v>1</v>
      </c>
      <c r="DF256" s="256">
        <f t="shared" si="110"/>
        <v>0</v>
      </c>
      <c r="DG256" s="256">
        <f t="shared" si="111"/>
        <v>0</v>
      </c>
      <c r="DH256" s="256">
        <f t="shared" si="112"/>
        <v>0</v>
      </c>
      <c r="DI256" s="280">
        <f t="shared" si="113"/>
        <v>0</v>
      </c>
      <c r="DJ256" s="295" t="str">
        <f t="shared" si="114"/>
        <v>-</v>
      </c>
      <c r="DK256" s="266" t="str">
        <f t="shared" si="115"/>
        <v>valid</v>
      </c>
      <c r="DL256" s="267" t="str">
        <f t="shared" si="116"/>
        <v>MGSP</v>
      </c>
      <c r="DM256" s="294">
        <f t="shared" si="117"/>
        <v>86.176724499999992</v>
      </c>
      <c r="DN256" s="256">
        <f>IF(MSASP&gt;0,'Look Ups'!$AI$4*(ZVAL*MSASP-RSAG),0)</f>
        <v>20.398865999999998</v>
      </c>
      <c r="DO256" s="256">
        <f>IF(AND(MSASC&gt;0,(MSASC&gt;=0.36*RSAM)),('Look Ups'!$AI$3*(ZVAL*MSASC-RSAG)),(0))</f>
        <v>0</v>
      </c>
      <c r="DP256" s="256">
        <f>IF(MSASP&gt;0,'Look Ups'!$AI$5*(ZVAL*MSASP-RSAG),0)</f>
        <v>19.038941600000001</v>
      </c>
      <c r="DQ256" s="256">
        <f>IF(MSASC&gt;0,'Look Ups'!$AI$6*(MSASC-RSAG),0)</f>
        <v>0</v>
      </c>
      <c r="DR256" s="280">
        <f>'Look Ups'!$AI$7*MAX(IF(MSAUSC&gt;0,EUSC/100*(MSAUSC-RSAG),0),IF(CR256="Yes",ELSC/100*(MSASC-RSAG),0))</f>
        <v>0</v>
      </c>
      <c r="DS256" s="280">
        <f t="shared" si="118"/>
        <v>18.151576019999997</v>
      </c>
      <c r="DT256" s="296">
        <f t="shared" si="119"/>
        <v>106.57559049999999</v>
      </c>
      <c r="DU256" s="14"/>
    </row>
    <row r="257" spans="1:125" ht="15.6" customHeight="1" x14ac:dyDescent="0.3">
      <c r="A257" s="4"/>
      <c r="B257" s="365"/>
      <c r="C257" s="369" t="s">
        <v>874</v>
      </c>
      <c r="D257" s="370" t="s">
        <v>592</v>
      </c>
      <c r="E257" s="371" t="s">
        <v>875</v>
      </c>
      <c r="F257" s="252">
        <f t="shared" ca="1" si="90"/>
        <v>1.0309999999999999</v>
      </c>
      <c r="G257" s="252" t="str">
        <f ca="1">IF(OR(FLSCR="ERROR",FLSPI="ERROR"),"No",IF(TODAY()-'Look Ups'!$D$4*365&gt;I257,"WP Applied","Yes"))</f>
        <v>WP Applied</v>
      </c>
      <c r="H257" s="253" t="str">
        <f t="shared" si="91"/>
        <v>Main-Genoa-Spinnaker</v>
      </c>
      <c r="I257" s="1">
        <v>38951</v>
      </c>
      <c r="J257" s="1"/>
      <c r="K257" s="87" t="s">
        <v>876</v>
      </c>
      <c r="L257" s="87" t="s">
        <v>658</v>
      </c>
      <c r="M257" s="207"/>
      <c r="N257" s="88" t="s">
        <v>143</v>
      </c>
      <c r="O257" s="88"/>
      <c r="P257" s="89"/>
      <c r="Q257" s="90">
        <v>8.65</v>
      </c>
      <c r="R257" s="87"/>
      <c r="S257" s="256">
        <f t="shared" si="92"/>
        <v>0.21625000000000003</v>
      </c>
      <c r="T257" s="117">
        <v>0.24</v>
      </c>
      <c r="U257" s="117">
        <v>0</v>
      </c>
      <c r="V257" s="258">
        <f t="shared" si="93"/>
        <v>8.41</v>
      </c>
      <c r="W257" s="259">
        <f>IF(RL&gt;0,IF(RL&gt;'Look Ups'!Y$7,'Look Ups'!Y$8,('Look Ups'!Y$3*RL^3+'Look Ups'!Y$4*RL^2+'Look Ups'!Y$5*RL+'Look Ups'!Y$6)),0)</f>
        <v>0.295104829593</v>
      </c>
      <c r="X257" s="92">
        <v>1010</v>
      </c>
      <c r="Y257" s="263">
        <f ca="1">IF(WDATE&lt;(TODAY()-'Look Ups'!$D$4*365),-WM*'Look Ups'!$D$5/100,0)</f>
        <v>-151.5</v>
      </c>
      <c r="Z257" s="103"/>
      <c r="AA257" s="109"/>
      <c r="AB257" s="109"/>
      <c r="AC257" s="265">
        <f>WCD+NC*'Look Ups'!$AF$3</f>
        <v>0</v>
      </c>
      <c r="AD257" s="265">
        <f ca="1">IF(RL&lt;'Look Ups'!AM$3,'Look Ups'!AM$4,IF(RL&gt;'Look Ups'!AM$5,'Look Ups'!AM$6,(RL-'Look Ups'!AM$3)/('Look Ups'!AM$5-'Look Ups'!AM$3)*('Look Ups'!AM$6-'Look Ups'!AM$4)+'Look Ups'!AM$4))/100*WS</f>
        <v>204.16690909090909</v>
      </c>
      <c r="AE257" s="269">
        <f t="shared" ca="1" si="94"/>
        <v>858.5</v>
      </c>
      <c r="AF257" s="267">
        <f t="shared" ca="1" si="95"/>
        <v>858.5</v>
      </c>
      <c r="AG257" s="94" t="s">
        <v>145</v>
      </c>
      <c r="AH257" s="95" t="s">
        <v>146</v>
      </c>
      <c r="AI257" s="96" t="s">
        <v>147</v>
      </c>
      <c r="AJ257" s="218"/>
      <c r="AK257" s="273">
        <f>IF(C257="",0,VLOOKUP(AG257,'Look Ups'!$F$3:$G$6,2,0)*VLOOKUP(AH257,'Look Ups'!$I$3:$J$5,2,0)*VLOOKUP(AI257,'Look Ups'!$L$3:$M$7,2,0)*IF(AJ257="",1,VLOOKUP(AJ257,'Look Ups'!$O$3:$P$4,2,0)))</f>
        <v>1</v>
      </c>
      <c r="AL257" s="83">
        <v>10.62</v>
      </c>
      <c r="AM257" s="91">
        <v>10.34</v>
      </c>
      <c r="AN257" s="91">
        <v>3.47</v>
      </c>
      <c r="AO257" s="91">
        <v>0.82</v>
      </c>
      <c r="AP257" s="91">
        <v>0.94</v>
      </c>
      <c r="AQ257" s="91">
        <v>10.52</v>
      </c>
      <c r="AR257" s="91">
        <v>0.03</v>
      </c>
      <c r="AS257" s="91">
        <v>3.58</v>
      </c>
      <c r="AT257" s="91">
        <v>0.04</v>
      </c>
      <c r="AU257" s="91">
        <v>0.39</v>
      </c>
      <c r="AV257" s="91" t="s">
        <v>148</v>
      </c>
      <c r="AW257" s="97">
        <v>0</v>
      </c>
      <c r="AX257" s="256">
        <f t="shared" si="96"/>
        <v>10.559999999999999</v>
      </c>
      <c r="AY257" s="256">
        <f t="shared" si="97"/>
        <v>1.5385500000000001</v>
      </c>
      <c r="AZ257" s="275">
        <f>IF(C257="",0,(0.5*(_ML1*LPM)+0.5*(_ML1*HB)+0.66*(P*PR)+0.66*(_ML2*RDM)+0.66*(E*ER))*VLOOKUP(BATT,'Look Ups'!$U$3:$V$4,2,0))</f>
        <v>29.497644000000001</v>
      </c>
      <c r="BA257" s="98"/>
      <c r="BB257" s="99"/>
      <c r="BC257" s="83">
        <v>9.7200000000000006</v>
      </c>
      <c r="BD257" s="91">
        <v>3.21</v>
      </c>
      <c r="BE257" s="91">
        <v>3.53</v>
      </c>
      <c r="BF257" s="91">
        <v>0.04</v>
      </c>
      <c r="BG257" s="91">
        <v>8.82</v>
      </c>
      <c r="BH257" s="91"/>
      <c r="BI257" s="91"/>
      <c r="BJ257" s="91">
        <v>0</v>
      </c>
      <c r="BK257" s="91">
        <v>0.11</v>
      </c>
      <c r="BL257" s="97">
        <v>0</v>
      </c>
      <c r="BM257" s="275">
        <f t="shared" si="98"/>
        <v>16.399463999999998</v>
      </c>
      <c r="BN257" s="319"/>
      <c r="BO257" s="320"/>
      <c r="BP257" s="321"/>
      <c r="BQ257" s="321"/>
      <c r="BR257" s="320"/>
      <c r="BS257" s="321"/>
      <c r="BT257" s="321"/>
      <c r="BU257" s="280">
        <f t="shared" si="99"/>
        <v>0</v>
      </c>
      <c r="BV257" s="322"/>
      <c r="BW257" s="320"/>
      <c r="BX257" s="320"/>
      <c r="BY257" s="320"/>
      <c r="BZ257" s="320"/>
      <c r="CA257" s="320"/>
      <c r="CB257" s="320"/>
      <c r="CC257" s="275">
        <f t="shared" si="100"/>
        <v>0</v>
      </c>
      <c r="CD257" s="98">
        <v>8.1999999999999993</v>
      </c>
      <c r="CE257" s="91">
        <v>13.09</v>
      </c>
      <c r="CF257" s="91">
        <v>11.35</v>
      </c>
      <c r="CG257" s="91">
        <v>7.16</v>
      </c>
      <c r="CH257" s="266">
        <f t="shared" si="101"/>
        <v>87.317073170731717</v>
      </c>
      <c r="CI257" s="320"/>
      <c r="CJ257" s="280">
        <f t="shared" si="102"/>
        <v>75.030799999999985</v>
      </c>
      <c r="CK257" s="83"/>
      <c r="CL257" s="91"/>
      <c r="CM257" s="91"/>
      <c r="CN257" s="91"/>
      <c r="CO257" s="256" t="str">
        <f t="shared" si="103"/>
        <v/>
      </c>
      <c r="CP257" s="320"/>
      <c r="CQ257" s="256">
        <f t="shared" si="104"/>
        <v>0</v>
      </c>
      <c r="CR257" s="256" t="str">
        <f>IF(CO257&lt;'Look Ups'!$AC$4,"Yes","No")</f>
        <v>No</v>
      </c>
      <c r="CS257" s="293">
        <f>IF(CR257="Yes",MIN(150,('Look Ups'!$AC$4-PSCR)/('Look Ups'!$AC$4-'Look Ups'!$AC$3)*100),0)</f>
        <v>0</v>
      </c>
      <c r="CT257" s="83"/>
      <c r="CU257" s="91"/>
      <c r="CV257" s="91"/>
      <c r="CW257" s="91"/>
      <c r="CX257" s="256" t="str">
        <f t="shared" si="105"/>
        <v/>
      </c>
      <c r="CY257" s="293">
        <f>IF(PUSCR&lt;'Look Ups'!$AC$4,MIN(150,('Look Ups'!$AC$4-PUSCR)/('Look Ups'!$AC$4-'Look Ups'!$AC$3)*100),0)</f>
        <v>0</v>
      </c>
      <c r="CZ257" s="275">
        <f>IF(PUSCR&lt;'Look Ups'!$AC$4,USCRF*(USCRL1+USCRL2)/4+(USCRMG-USCRF/2)*(USCRL1+USCRL2)/3,0)</f>
        <v>0</v>
      </c>
      <c r="DA257" s="294">
        <f t="shared" si="106"/>
        <v>1</v>
      </c>
      <c r="DB257" s="256">
        <f t="shared" si="107"/>
        <v>31.036194000000002</v>
      </c>
      <c r="DC257" s="256">
        <f t="shared" si="108"/>
        <v>1</v>
      </c>
      <c r="DD257" s="256">
        <f t="shared" si="109"/>
        <v>16.399463999999998</v>
      </c>
      <c r="DE257" s="256">
        <f>IF(AZ257&gt;0,'Look Ups'!$S$3,0)</f>
        <v>1</v>
      </c>
      <c r="DF257" s="256">
        <f t="shared" si="110"/>
        <v>0</v>
      </c>
      <c r="DG257" s="256">
        <f t="shared" si="111"/>
        <v>0</v>
      </c>
      <c r="DH257" s="256">
        <f t="shared" si="112"/>
        <v>0</v>
      </c>
      <c r="DI257" s="280">
        <f t="shared" si="113"/>
        <v>0</v>
      </c>
      <c r="DJ257" s="295" t="str">
        <f t="shared" si="114"/>
        <v>-</v>
      </c>
      <c r="DK257" s="266" t="str">
        <f t="shared" si="115"/>
        <v>valid</v>
      </c>
      <c r="DL257" s="267" t="str">
        <f t="shared" si="116"/>
        <v>MGSP</v>
      </c>
      <c r="DM257" s="294">
        <f t="shared" si="117"/>
        <v>47.435658000000004</v>
      </c>
      <c r="DN257" s="256">
        <f>IF(MSASP&gt;0,'Look Ups'!$AI$4*(ZVAL*MSASP-RSAG),0)</f>
        <v>17.589400799999996</v>
      </c>
      <c r="DO257" s="256">
        <f>IF(AND(MSASC&gt;0,(MSASC&gt;=0.36*RSAM)),('Look Ups'!$AI$3*(ZVAL*MSASC-RSAG)),(0))</f>
        <v>0</v>
      </c>
      <c r="DP257" s="256">
        <f>IF(MSASP&gt;0,'Look Ups'!$AI$5*(ZVAL*MSASP-RSAG),0)</f>
        <v>16.41677408</v>
      </c>
      <c r="DQ257" s="256">
        <f>IF(MSASC&gt;0,'Look Ups'!$AI$6*(MSASC-RSAG),0)</f>
        <v>0</v>
      </c>
      <c r="DR257" s="280">
        <f>'Look Ups'!$AI$7*MAX(IF(MSAUSC&gt;0,EUSC/100*(MSAUSC-RSAG),0),IF(CR257="Yes",ELSC/100*(MSASC-RSAG),0))</f>
        <v>0</v>
      </c>
      <c r="DS257" s="280">
        <f t="shared" si="118"/>
        <v>11.17302984</v>
      </c>
      <c r="DT257" s="296">
        <f t="shared" si="119"/>
        <v>65.025058799999996</v>
      </c>
      <c r="DU257" s="14"/>
    </row>
    <row r="258" spans="1:125" ht="15.6" customHeight="1" x14ac:dyDescent="0.3">
      <c r="A258" s="4"/>
      <c r="B258" s="365"/>
      <c r="C258" s="369" t="s">
        <v>877</v>
      </c>
      <c r="D258" s="370" t="s">
        <v>878</v>
      </c>
      <c r="E258" s="371" t="s">
        <v>879</v>
      </c>
      <c r="F258" s="252">
        <f t="shared" ca="1" si="90"/>
        <v>0.81200000000000006</v>
      </c>
      <c r="G258" s="252" t="str">
        <f ca="1">IF(OR(FLSCR="ERROR",FLSPI="ERROR"),"No",IF(TODAY()-'Look Ups'!$D$4*365&gt;I258,"WP Applied","Yes"))</f>
        <v>WP Applied</v>
      </c>
      <c r="H258" s="253" t="str">
        <f t="shared" si="91"/>
        <v>Main-Genoa-Spinnaker</v>
      </c>
      <c r="I258" s="1">
        <v>35852</v>
      </c>
      <c r="J258" s="1"/>
      <c r="K258" s="87" t="s">
        <v>602</v>
      </c>
      <c r="L258" s="87" t="s">
        <v>270</v>
      </c>
      <c r="M258" s="207"/>
      <c r="N258" s="88" t="s">
        <v>165</v>
      </c>
      <c r="O258" s="88"/>
      <c r="P258" s="89">
        <v>6.1</v>
      </c>
      <c r="Q258" s="90">
        <v>10.65</v>
      </c>
      <c r="R258" s="87"/>
      <c r="S258" s="256">
        <f t="shared" si="92"/>
        <v>0.26625000000000004</v>
      </c>
      <c r="T258" s="117">
        <v>0</v>
      </c>
      <c r="U258" s="117">
        <v>0</v>
      </c>
      <c r="V258" s="258">
        <f t="shared" si="93"/>
        <v>10.65</v>
      </c>
      <c r="W258" s="259">
        <f>IF(RL&gt;0,IF(RL&gt;'Look Ups'!Y$7,'Look Ups'!Y$8,('Look Ups'!Y$3*RL^3+'Look Ups'!Y$4*RL^2+'Look Ups'!Y$5*RL+'Look Ups'!Y$6)),0)</f>
        <v>0.29924583762500001</v>
      </c>
      <c r="X258" s="92">
        <v>3882</v>
      </c>
      <c r="Y258" s="263">
        <f ca="1">IF(WDATE&lt;(TODAY()-'Look Ups'!$D$4*365),-WM*'Look Ups'!$D$5/100,0)</f>
        <v>-582.29999999999995</v>
      </c>
      <c r="Z258" s="103"/>
      <c r="AA258" s="109"/>
      <c r="AB258" s="109"/>
      <c r="AC258" s="265">
        <f>WCD+NC*'Look Ups'!$AF$3</f>
        <v>0</v>
      </c>
      <c r="AD258" s="265">
        <f ca="1">IF(RL&lt;'Look Ups'!AM$3,'Look Ups'!AM$4,IF(RL&gt;'Look Ups'!AM$5,'Look Ups'!AM$6,(RL-'Look Ups'!AM$3)/('Look Ups'!AM$5-'Look Ups'!AM$3)*('Look Ups'!AM$6-'Look Ups'!AM$4)+'Look Ups'!AM$4))/100*WS</f>
        <v>515.95309090909086</v>
      </c>
      <c r="AE258" s="269">
        <f t="shared" ca="1" si="94"/>
        <v>3299.7</v>
      </c>
      <c r="AF258" s="267">
        <f t="shared" ca="1" si="95"/>
        <v>3299.7</v>
      </c>
      <c r="AG258" s="94" t="s">
        <v>145</v>
      </c>
      <c r="AH258" s="95" t="s">
        <v>146</v>
      </c>
      <c r="AI258" s="96" t="s">
        <v>147</v>
      </c>
      <c r="AJ258" s="218"/>
      <c r="AK258" s="273">
        <f>IF(C258="",0,VLOOKUP(AG258,'Look Ups'!$F$3:$G$6,2,0)*VLOOKUP(AH258,'Look Ups'!$I$3:$J$5,2,0)*VLOOKUP(AI258,'Look Ups'!$L$3:$M$7,2,0)*IF(AJ258="",1,VLOOKUP(AJ258,'Look Ups'!$O$3:$P$4,2,0)))</f>
        <v>1</v>
      </c>
      <c r="AL258" s="83">
        <v>14.94</v>
      </c>
      <c r="AM258" s="91">
        <v>14.85</v>
      </c>
      <c r="AN258" s="91">
        <v>5.14</v>
      </c>
      <c r="AO258" s="91">
        <v>0.15</v>
      </c>
      <c r="AP258" s="91">
        <v>0.68</v>
      </c>
      <c r="AQ258" s="91">
        <v>14.24</v>
      </c>
      <c r="AR258" s="91">
        <v>0.26</v>
      </c>
      <c r="AS258" s="91">
        <v>5.39</v>
      </c>
      <c r="AT258" s="91">
        <v>0</v>
      </c>
      <c r="AU258" s="91">
        <v>0</v>
      </c>
      <c r="AV258" s="91" t="s">
        <v>148</v>
      </c>
      <c r="AW258" s="97">
        <v>0</v>
      </c>
      <c r="AX258" s="256">
        <f t="shared" si="96"/>
        <v>14.24</v>
      </c>
      <c r="AY258" s="256">
        <f t="shared" si="97"/>
        <v>0</v>
      </c>
      <c r="AZ258" s="275">
        <f>IF(C258="",0,(0.5*(_ML1*LPM)+0.5*(_ML1*HB)+0.66*(P*PR)+0.66*(_ML2*RDM)+0.66*(E*ER))*VLOOKUP(BATT,'Look Ups'!$U$3:$V$4,2,0))</f>
        <v>48.624563999999992</v>
      </c>
      <c r="BA258" s="98"/>
      <c r="BB258" s="99"/>
      <c r="BC258" s="83">
        <v>13.53</v>
      </c>
      <c r="BD258" s="91">
        <v>3.46</v>
      </c>
      <c r="BE258" s="91">
        <v>4.57</v>
      </c>
      <c r="BF258" s="91">
        <v>0.11</v>
      </c>
      <c r="BG258" s="91">
        <v>11.54</v>
      </c>
      <c r="BH258" s="91"/>
      <c r="BI258" s="91"/>
      <c r="BJ258" s="91">
        <v>-0.24</v>
      </c>
      <c r="BK258" s="91">
        <v>0</v>
      </c>
      <c r="BL258" s="97"/>
      <c r="BM258" s="275">
        <f t="shared" si="98"/>
        <v>21.910746</v>
      </c>
      <c r="BN258" s="319"/>
      <c r="BO258" s="320"/>
      <c r="BP258" s="321"/>
      <c r="BQ258" s="321"/>
      <c r="BR258" s="320"/>
      <c r="BS258" s="321"/>
      <c r="BT258" s="321"/>
      <c r="BU258" s="280">
        <f t="shared" si="99"/>
        <v>0</v>
      </c>
      <c r="BV258" s="322"/>
      <c r="BW258" s="320"/>
      <c r="BX258" s="320"/>
      <c r="BY258" s="320"/>
      <c r="BZ258" s="320"/>
      <c r="CA258" s="320"/>
      <c r="CB258" s="320"/>
      <c r="CC258" s="275">
        <f t="shared" si="100"/>
        <v>0</v>
      </c>
      <c r="CD258" s="98">
        <v>7.37</v>
      </c>
      <c r="CE258" s="91">
        <v>14.83</v>
      </c>
      <c r="CF258" s="91">
        <v>13.15</v>
      </c>
      <c r="CG258" s="91">
        <v>6.6</v>
      </c>
      <c r="CH258" s="266">
        <f t="shared" si="101"/>
        <v>89.552238805970148</v>
      </c>
      <c r="CI258" s="320"/>
      <c r="CJ258" s="280">
        <f t="shared" si="102"/>
        <v>78.740383333333327</v>
      </c>
      <c r="CK258" s="83"/>
      <c r="CL258" s="91"/>
      <c r="CM258" s="91"/>
      <c r="CN258" s="91"/>
      <c r="CO258" s="256" t="str">
        <f t="shared" si="103"/>
        <v/>
      </c>
      <c r="CP258" s="320"/>
      <c r="CQ258" s="256">
        <f t="shared" si="104"/>
        <v>0</v>
      </c>
      <c r="CR258" s="256" t="str">
        <f>IF(CO258&lt;'Look Ups'!$AC$4,"Yes","No")</f>
        <v>No</v>
      </c>
      <c r="CS258" s="293">
        <f>IF(CR258="Yes",MIN(150,('Look Ups'!$AC$4-PSCR)/('Look Ups'!$AC$4-'Look Ups'!$AC$3)*100),0)</f>
        <v>0</v>
      </c>
      <c r="CT258" s="83"/>
      <c r="CU258" s="91"/>
      <c r="CV258" s="91"/>
      <c r="CW258" s="91"/>
      <c r="CX258" s="256" t="str">
        <f t="shared" si="105"/>
        <v/>
      </c>
      <c r="CY258" s="293">
        <f>IF(PUSCR&lt;'Look Ups'!$AC$4,MIN(150,('Look Ups'!$AC$4-PUSCR)/('Look Ups'!$AC$4-'Look Ups'!$AC$3)*100),0)</f>
        <v>0</v>
      </c>
      <c r="CZ258" s="275">
        <f>IF(PUSCR&lt;'Look Ups'!$AC$4,USCRF*(USCRL1+USCRL2)/4+(USCRMG-USCRF/2)*(USCRL1+USCRL2)/3,0)</f>
        <v>0</v>
      </c>
      <c r="DA258" s="294">
        <f t="shared" si="106"/>
        <v>1</v>
      </c>
      <c r="DB258" s="256">
        <f t="shared" si="107"/>
        <v>48.624563999999992</v>
      </c>
      <c r="DC258" s="256">
        <f t="shared" si="108"/>
        <v>1</v>
      </c>
      <c r="DD258" s="256">
        <f t="shared" si="109"/>
        <v>21.910746</v>
      </c>
      <c r="DE258" s="256">
        <f>IF(AZ258&gt;0,'Look Ups'!$S$3,0)</f>
        <v>1</v>
      </c>
      <c r="DF258" s="256">
        <f t="shared" si="110"/>
        <v>0</v>
      </c>
      <c r="DG258" s="256">
        <f t="shared" si="111"/>
        <v>0</v>
      </c>
      <c r="DH258" s="256">
        <f t="shared" si="112"/>
        <v>0</v>
      </c>
      <c r="DI258" s="280">
        <f t="shared" si="113"/>
        <v>0</v>
      </c>
      <c r="DJ258" s="295" t="str">
        <f t="shared" si="114"/>
        <v>-</v>
      </c>
      <c r="DK258" s="266" t="str">
        <f t="shared" si="115"/>
        <v>valid</v>
      </c>
      <c r="DL258" s="267" t="str">
        <f t="shared" si="116"/>
        <v>MGSP</v>
      </c>
      <c r="DM258" s="294">
        <f t="shared" si="117"/>
        <v>70.535309999999996</v>
      </c>
      <c r="DN258" s="256">
        <f>IF(MSASP&gt;0,'Look Ups'!$AI$4*(ZVAL*MSASP-RSAG),0)</f>
        <v>17.048891199999996</v>
      </c>
      <c r="DO258" s="256">
        <f>IF(AND(MSASC&gt;0,(MSASC&gt;=0.36*RSAM)),('Look Ups'!$AI$3*(ZVAL*MSASC-RSAG)),(0))</f>
        <v>0</v>
      </c>
      <c r="DP258" s="256">
        <f>IF(MSASP&gt;0,'Look Ups'!$AI$5*(ZVAL*MSASP-RSAG),0)</f>
        <v>15.912298453333332</v>
      </c>
      <c r="DQ258" s="256">
        <f>IF(MSASC&gt;0,'Look Ups'!$AI$6*(MSASC-RSAG),0)</f>
        <v>0</v>
      </c>
      <c r="DR258" s="280">
        <f>'Look Ups'!$AI$7*MAX(IF(MSAUSC&gt;0,EUSC/100*(MSAUSC-RSAG),0),IF(CR258="Yes",ELSC/100*(MSASC-RSAG),0))</f>
        <v>0</v>
      </c>
      <c r="DS258" s="280">
        <f t="shared" si="118"/>
        <v>17.504843039999997</v>
      </c>
      <c r="DT258" s="296">
        <f t="shared" si="119"/>
        <v>87.584201199999995</v>
      </c>
      <c r="DU258" s="14"/>
    </row>
    <row r="259" spans="1:125" ht="15.6" customHeight="1" x14ac:dyDescent="0.3">
      <c r="A259" s="4"/>
      <c r="B259" s="365"/>
      <c r="C259" s="369" t="s">
        <v>880</v>
      </c>
      <c r="D259" s="370" t="s">
        <v>881</v>
      </c>
      <c r="E259" s="371" t="s">
        <v>882</v>
      </c>
      <c r="F259" s="252">
        <f t="shared" ca="1" si="90"/>
        <v>0.89900000000000002</v>
      </c>
      <c r="G259" s="252" t="str">
        <f ca="1">IF(OR(FLSCR="ERROR",FLSPI="ERROR"),"No",IF(TODAY()-'Look Ups'!$D$4*365&gt;I259,"WP Applied","Yes"))</f>
        <v>WP Applied</v>
      </c>
      <c r="H259" s="253" t="str">
        <f t="shared" si="91"/>
        <v>Main-Genoa-Spinnaker</v>
      </c>
      <c r="I259" s="1">
        <v>37883</v>
      </c>
      <c r="J259" s="1"/>
      <c r="K259" s="87" t="s">
        <v>607</v>
      </c>
      <c r="L259" s="87" t="s">
        <v>641</v>
      </c>
      <c r="M259" s="207"/>
      <c r="N259" s="88" t="s">
        <v>271</v>
      </c>
      <c r="O259" s="88"/>
      <c r="P259" s="89">
        <v>5.9</v>
      </c>
      <c r="Q259" s="90">
        <v>8.2799999999999994</v>
      </c>
      <c r="R259" s="87"/>
      <c r="S259" s="256">
        <f t="shared" si="92"/>
        <v>0.20699999999999999</v>
      </c>
      <c r="T259" s="117">
        <v>0.06</v>
      </c>
      <c r="U259" s="117">
        <v>0</v>
      </c>
      <c r="V259" s="258">
        <f t="shared" si="93"/>
        <v>8.2199999999999989</v>
      </c>
      <c r="W259" s="259">
        <f>IF(RL&gt;0,IF(RL&gt;'Look Ups'!Y$7,'Look Ups'!Y$8,('Look Ups'!Y$3*RL^3+'Look Ups'!Y$4*RL^2+'Look Ups'!Y$5*RL+'Look Ups'!Y$6)),0)</f>
        <v>0.29452284418400004</v>
      </c>
      <c r="X259" s="92">
        <v>1220</v>
      </c>
      <c r="Y259" s="263">
        <f ca="1">IF(WDATE&lt;(TODAY()-'Look Ups'!$D$4*365),-WM*'Look Ups'!$D$5/100,0)</f>
        <v>-183</v>
      </c>
      <c r="Z259" s="103"/>
      <c r="AA259" s="109"/>
      <c r="AB259" s="109"/>
      <c r="AC259" s="265">
        <f>WCD+NC*'Look Ups'!$AF$3</f>
        <v>0</v>
      </c>
      <c r="AD259" s="265">
        <f ca="1">IF(RL&lt;'Look Ups'!AM$3,'Look Ups'!AM$4,IF(RL&gt;'Look Ups'!AM$5,'Look Ups'!AM$6,(RL-'Look Ups'!AM$3)/('Look Ups'!AM$5-'Look Ups'!AM$3)*('Look Ups'!AM$6-'Look Ups'!AM$4)+'Look Ups'!AM$4))/100*WS</f>
        <v>253.78218181818187</v>
      </c>
      <c r="AE259" s="269">
        <f t="shared" ca="1" si="94"/>
        <v>1037</v>
      </c>
      <c r="AF259" s="267">
        <f t="shared" ca="1" si="95"/>
        <v>1037</v>
      </c>
      <c r="AG259" s="94" t="s">
        <v>155</v>
      </c>
      <c r="AH259" s="95" t="s">
        <v>146</v>
      </c>
      <c r="AI259" s="96" t="s">
        <v>147</v>
      </c>
      <c r="AJ259" s="218"/>
      <c r="AK259" s="273">
        <f>IF(C259="",0,VLOOKUP(AG259,'Look Ups'!$F$3:$G$6,2,0)*VLOOKUP(AH259,'Look Ups'!$I$3:$J$5,2,0)*VLOOKUP(AI259,'Look Ups'!$L$3:$M$7,2,0)*IF(AJ259="",1,VLOOKUP(AJ259,'Look Ups'!$O$3:$P$4,2,0)))</f>
        <v>0.99</v>
      </c>
      <c r="AL259" s="83">
        <v>10.62</v>
      </c>
      <c r="AM259" s="91">
        <v>10.39</v>
      </c>
      <c r="AN259" s="91">
        <v>3.21</v>
      </c>
      <c r="AO259" s="91">
        <v>0.84</v>
      </c>
      <c r="AP259" s="91">
        <v>0.76</v>
      </c>
      <c r="AQ259" s="91">
        <v>10.31</v>
      </c>
      <c r="AR259" s="91">
        <v>0.08</v>
      </c>
      <c r="AS259" s="91">
        <v>3.32</v>
      </c>
      <c r="AT259" s="91">
        <v>0.05</v>
      </c>
      <c r="AU259" s="91">
        <v>0.45</v>
      </c>
      <c r="AV259" s="91" t="s">
        <v>148</v>
      </c>
      <c r="AW259" s="97">
        <v>0</v>
      </c>
      <c r="AX259" s="256">
        <f t="shared" si="96"/>
        <v>10.360000000000001</v>
      </c>
      <c r="AY259" s="256">
        <f t="shared" si="97"/>
        <v>1.7398125</v>
      </c>
      <c r="AZ259" s="275">
        <f>IF(C259="",0,(0.5*(_ML1*LPM)+0.5*(_ML1*HB)+0.66*(P*PR)+0.66*(_ML2*RDM)+0.66*(E*ER))*VLOOKUP(BATT,'Look Ups'!$U$3:$V$4,2,0))</f>
        <v>27.371051999999995</v>
      </c>
      <c r="BA259" s="98"/>
      <c r="BB259" s="99"/>
      <c r="BC259" s="83">
        <v>8.64</v>
      </c>
      <c r="BD259" s="91">
        <v>2.68</v>
      </c>
      <c r="BE259" s="91">
        <v>3.04</v>
      </c>
      <c r="BF259" s="91">
        <v>0.08</v>
      </c>
      <c r="BG259" s="91">
        <v>7.7</v>
      </c>
      <c r="BH259" s="91"/>
      <c r="BI259" s="91"/>
      <c r="BJ259" s="91">
        <v>-0.08</v>
      </c>
      <c r="BK259" s="91">
        <v>-0.03</v>
      </c>
      <c r="BL259" s="97"/>
      <c r="BM259" s="275">
        <f t="shared" si="98"/>
        <v>11.160480000000002</v>
      </c>
      <c r="BN259" s="319"/>
      <c r="BO259" s="320"/>
      <c r="BP259" s="321"/>
      <c r="BQ259" s="321"/>
      <c r="BR259" s="320"/>
      <c r="BS259" s="321"/>
      <c r="BT259" s="321"/>
      <c r="BU259" s="280">
        <f t="shared" si="99"/>
        <v>0</v>
      </c>
      <c r="BV259" s="322"/>
      <c r="BW259" s="320"/>
      <c r="BX259" s="320"/>
      <c r="BY259" s="320"/>
      <c r="BZ259" s="320"/>
      <c r="CA259" s="320"/>
      <c r="CB259" s="320"/>
      <c r="CC259" s="275">
        <f t="shared" si="100"/>
        <v>0</v>
      </c>
      <c r="CD259" s="98">
        <v>7.89</v>
      </c>
      <c r="CE259" s="91">
        <v>11.8</v>
      </c>
      <c r="CF259" s="91">
        <v>10.39</v>
      </c>
      <c r="CG259" s="91">
        <v>6.75</v>
      </c>
      <c r="CH259" s="266">
        <f t="shared" si="101"/>
        <v>85.551330798479086</v>
      </c>
      <c r="CI259" s="320"/>
      <c r="CJ259" s="280">
        <f t="shared" si="102"/>
        <v>64.517425000000003</v>
      </c>
      <c r="CK259" s="83"/>
      <c r="CL259" s="91"/>
      <c r="CM259" s="91"/>
      <c r="CN259" s="91"/>
      <c r="CO259" s="256" t="str">
        <f t="shared" si="103"/>
        <v/>
      </c>
      <c r="CP259" s="320"/>
      <c r="CQ259" s="256">
        <f t="shared" si="104"/>
        <v>0</v>
      </c>
      <c r="CR259" s="256" t="str">
        <f>IF(CO259&lt;'Look Ups'!$AC$4,"Yes","No")</f>
        <v>No</v>
      </c>
      <c r="CS259" s="293">
        <f>IF(CR259="Yes",MIN(150,('Look Ups'!$AC$4-PSCR)/('Look Ups'!$AC$4-'Look Ups'!$AC$3)*100),0)</f>
        <v>0</v>
      </c>
      <c r="CT259" s="83"/>
      <c r="CU259" s="91"/>
      <c r="CV259" s="91"/>
      <c r="CW259" s="91"/>
      <c r="CX259" s="256" t="str">
        <f t="shared" si="105"/>
        <v/>
      </c>
      <c r="CY259" s="293">
        <f>IF(PUSCR&lt;'Look Ups'!$AC$4,MIN(150,('Look Ups'!$AC$4-PUSCR)/('Look Ups'!$AC$4-'Look Ups'!$AC$3)*100),0)</f>
        <v>0</v>
      </c>
      <c r="CZ259" s="275">
        <f>IF(PUSCR&lt;'Look Ups'!$AC$4,USCRF*(USCRL1+USCRL2)/4+(USCRMG-USCRF/2)*(USCRL1+USCRL2)/3,0)</f>
        <v>0</v>
      </c>
      <c r="DA259" s="294">
        <f t="shared" si="106"/>
        <v>1</v>
      </c>
      <c r="DB259" s="256">
        <f t="shared" si="107"/>
        <v>29.110864499999995</v>
      </c>
      <c r="DC259" s="256">
        <f t="shared" si="108"/>
        <v>1</v>
      </c>
      <c r="DD259" s="256">
        <f t="shared" si="109"/>
        <v>11.160480000000002</v>
      </c>
      <c r="DE259" s="256">
        <f>IF(AZ259&gt;0,'Look Ups'!$S$3,0)</f>
        <v>1</v>
      </c>
      <c r="DF259" s="256">
        <f t="shared" si="110"/>
        <v>0</v>
      </c>
      <c r="DG259" s="256">
        <f t="shared" si="111"/>
        <v>0</v>
      </c>
      <c r="DH259" s="256">
        <f t="shared" si="112"/>
        <v>0</v>
      </c>
      <c r="DI259" s="280">
        <f t="shared" si="113"/>
        <v>0</v>
      </c>
      <c r="DJ259" s="295" t="str">
        <f t="shared" si="114"/>
        <v>-</v>
      </c>
      <c r="DK259" s="266" t="str">
        <f t="shared" si="115"/>
        <v>valid</v>
      </c>
      <c r="DL259" s="267" t="str">
        <f t="shared" si="116"/>
        <v>MGSP</v>
      </c>
      <c r="DM259" s="294">
        <f t="shared" si="117"/>
        <v>40.271344499999998</v>
      </c>
      <c r="DN259" s="256">
        <f>IF(MSASP&gt;0,'Look Ups'!$AI$4*(ZVAL*MSASP-RSAG),0)</f>
        <v>16.0070835</v>
      </c>
      <c r="DO259" s="256">
        <f>IF(AND(MSASC&gt;0,(MSASC&gt;=0.36*RSAM)),('Look Ups'!$AI$3*(ZVAL*MSASC-RSAG)),(0))</f>
        <v>0</v>
      </c>
      <c r="DP259" s="256">
        <f>IF(MSASP&gt;0,'Look Ups'!$AI$5*(ZVAL*MSASP-RSAG),0)</f>
        <v>14.939944600000002</v>
      </c>
      <c r="DQ259" s="256">
        <f>IF(MSASC&gt;0,'Look Ups'!$AI$6*(MSASC-RSAG),0)</f>
        <v>0</v>
      </c>
      <c r="DR259" s="280">
        <f>'Look Ups'!$AI$7*MAX(IF(MSAUSC&gt;0,EUSC/100*(MSAUSC-RSAG),0),IF(CR259="Yes",ELSC/100*(MSASC-RSAG),0))</f>
        <v>0</v>
      </c>
      <c r="DS259" s="280">
        <f t="shared" si="118"/>
        <v>10.479911219999998</v>
      </c>
      <c r="DT259" s="296">
        <f t="shared" si="119"/>
        <v>56.278427999999998</v>
      </c>
      <c r="DU259" s="14"/>
    </row>
    <row r="260" spans="1:125" ht="15.6" customHeight="1" x14ac:dyDescent="0.3">
      <c r="A260" s="4"/>
      <c r="B260" s="365"/>
      <c r="C260" s="369" t="s">
        <v>883</v>
      </c>
      <c r="D260" s="370" t="s">
        <v>884</v>
      </c>
      <c r="E260" s="371" t="s">
        <v>885</v>
      </c>
      <c r="F260" s="252">
        <f t="shared" ca="1" si="90"/>
        <v>0.93300000000000005</v>
      </c>
      <c r="G260" s="252" t="str">
        <f ca="1">IF(OR(FLSCR="ERROR",FLSPI="ERROR"),"No",IF(TODAY()-'Look Ups'!$D$4*365&gt;I260,"WP Applied","Yes"))</f>
        <v>WP Applied</v>
      </c>
      <c r="H260" s="253" t="str">
        <f t="shared" si="91"/>
        <v>Main-Genoa-Spinnaker</v>
      </c>
      <c r="I260" s="1">
        <v>38731</v>
      </c>
      <c r="J260" s="1">
        <v>41494</v>
      </c>
      <c r="K260" s="87" t="s">
        <v>676</v>
      </c>
      <c r="L260" s="87" t="s">
        <v>170</v>
      </c>
      <c r="M260" s="207"/>
      <c r="N260" s="88" t="s">
        <v>143</v>
      </c>
      <c r="O260" s="88" t="s">
        <v>154</v>
      </c>
      <c r="P260" s="89"/>
      <c r="Q260" s="90">
        <v>9.7200000000000006</v>
      </c>
      <c r="R260" s="87"/>
      <c r="S260" s="256">
        <f t="shared" si="92"/>
        <v>0.24300000000000002</v>
      </c>
      <c r="T260" s="117">
        <v>0.12</v>
      </c>
      <c r="U260" s="117">
        <v>0</v>
      </c>
      <c r="V260" s="258">
        <f t="shared" si="93"/>
        <v>9.6000000000000014</v>
      </c>
      <c r="W260" s="259">
        <f>IF(RL&gt;0,IF(RL&gt;'Look Ups'!Y$7,'Look Ups'!Y$8,('Look Ups'!Y$3*RL^3+'Look Ups'!Y$4*RL^2+'Look Ups'!Y$5*RL+'Look Ups'!Y$6)),0)</f>
        <v>0.29787228800000004</v>
      </c>
      <c r="X260" s="92">
        <v>2248</v>
      </c>
      <c r="Y260" s="263">
        <f ca="1">IF(WDATE&lt;(TODAY()-'Look Ups'!$D$4*365),-WM*'Look Ups'!$D$5/100,0)</f>
        <v>-337.2</v>
      </c>
      <c r="Z260" s="103"/>
      <c r="AA260" s="109"/>
      <c r="AB260" s="109"/>
      <c r="AC260" s="265">
        <f>WCD+NC*'Look Ups'!$AF$3</f>
        <v>0</v>
      </c>
      <c r="AD260" s="265">
        <f ca="1">IF(RL&lt;'Look Ups'!AM$3,'Look Ups'!AM$4,IF(RL&gt;'Look Ups'!AM$5,'Look Ups'!AM$6,(RL-'Look Ups'!AM$3)/('Look Ups'!AM$5-'Look Ups'!AM$3)*('Look Ups'!AM$6-'Look Ups'!AM$4)+'Look Ups'!AM$4))/100*WS</f>
        <v>371.73745454545445</v>
      </c>
      <c r="AE260" s="269">
        <f t="shared" ca="1" si="94"/>
        <v>1910.8</v>
      </c>
      <c r="AF260" s="267">
        <f t="shared" ca="1" si="95"/>
        <v>1910.8</v>
      </c>
      <c r="AG260" s="94" t="s">
        <v>145</v>
      </c>
      <c r="AH260" s="95" t="s">
        <v>146</v>
      </c>
      <c r="AI260" s="96" t="s">
        <v>147</v>
      </c>
      <c r="AJ260" s="218"/>
      <c r="AK260" s="273">
        <f>IF(C260="",0,VLOOKUP(AG260,'Look Ups'!$F$3:$G$6,2,0)*VLOOKUP(AH260,'Look Ups'!$I$3:$J$5,2,0)*VLOOKUP(AI260,'Look Ups'!$L$3:$M$7,2,0)*IF(AJ260="",1,VLOOKUP(AJ260,'Look Ups'!$O$3:$P$4,2,0)))</f>
        <v>1</v>
      </c>
      <c r="AL260" s="83">
        <v>12.66</v>
      </c>
      <c r="AM260" s="91">
        <v>12.35</v>
      </c>
      <c r="AN260" s="91">
        <v>4.0199999999999996</v>
      </c>
      <c r="AO260" s="91">
        <v>1.45</v>
      </c>
      <c r="AP260" s="91">
        <v>0.55000000000000004</v>
      </c>
      <c r="AQ260" s="91">
        <v>12.18</v>
      </c>
      <c r="AR260" s="91">
        <v>0.13</v>
      </c>
      <c r="AS260" s="91">
        <v>4.24</v>
      </c>
      <c r="AT260" s="91">
        <v>0.05</v>
      </c>
      <c r="AU260" s="91">
        <v>0.5</v>
      </c>
      <c r="AV260" s="91" t="s">
        <v>148</v>
      </c>
      <c r="AW260" s="97">
        <v>0</v>
      </c>
      <c r="AX260" s="256">
        <f t="shared" si="96"/>
        <v>12.23</v>
      </c>
      <c r="AY260" s="256">
        <f t="shared" si="97"/>
        <v>2.2837499999999999</v>
      </c>
      <c r="AZ260" s="275">
        <f>IF(C260="",0,(0.5*(_ML1*LPM)+0.5*(_ML1*HB)+0.66*(P*PR)+0.66*(_ML2*RDM)+0.66*(E*ER))*VLOOKUP(BATT,'Look Ups'!$U$3:$V$4,2,0))</f>
        <v>40.293113999999989</v>
      </c>
      <c r="BA260" s="98"/>
      <c r="BB260" s="99"/>
      <c r="BC260" s="83">
        <v>10.95</v>
      </c>
      <c r="BD260" s="91">
        <v>3.69</v>
      </c>
      <c r="BE260" s="91">
        <v>4.1500000000000004</v>
      </c>
      <c r="BF260" s="91">
        <v>0.08</v>
      </c>
      <c r="BG260" s="91">
        <v>9.77</v>
      </c>
      <c r="BH260" s="91"/>
      <c r="BI260" s="91"/>
      <c r="BJ260" s="91">
        <v>0.1</v>
      </c>
      <c r="BK260" s="91">
        <v>0.02</v>
      </c>
      <c r="BL260" s="97">
        <v>0</v>
      </c>
      <c r="BM260" s="275">
        <f t="shared" si="98"/>
        <v>21.211229999999997</v>
      </c>
      <c r="BN260" s="319"/>
      <c r="BO260" s="320"/>
      <c r="BP260" s="321"/>
      <c r="BQ260" s="321"/>
      <c r="BR260" s="320"/>
      <c r="BS260" s="321"/>
      <c r="BT260" s="321"/>
      <c r="BU260" s="280">
        <f t="shared" si="99"/>
        <v>0</v>
      </c>
      <c r="BV260" s="322"/>
      <c r="BW260" s="320"/>
      <c r="BX260" s="320"/>
      <c r="BY260" s="320"/>
      <c r="BZ260" s="320"/>
      <c r="CA260" s="320"/>
      <c r="CB260" s="320"/>
      <c r="CC260" s="275">
        <f t="shared" si="100"/>
        <v>0</v>
      </c>
      <c r="CD260" s="98">
        <v>9.2200000000000006</v>
      </c>
      <c r="CE260" s="91">
        <v>15.11</v>
      </c>
      <c r="CF260" s="91">
        <v>13.19</v>
      </c>
      <c r="CG260" s="91">
        <v>8.02</v>
      </c>
      <c r="CH260" s="266">
        <f t="shared" si="101"/>
        <v>86.984815618221248</v>
      </c>
      <c r="CI260" s="320"/>
      <c r="CJ260" s="280">
        <f t="shared" si="102"/>
        <v>97.399166666666645</v>
      </c>
      <c r="CK260" s="83"/>
      <c r="CL260" s="91">
        <v>0</v>
      </c>
      <c r="CM260" s="91">
        <v>0</v>
      </c>
      <c r="CN260" s="91">
        <v>0</v>
      </c>
      <c r="CO260" s="256" t="str">
        <f t="shared" si="103"/>
        <v/>
      </c>
      <c r="CP260" s="320"/>
      <c r="CQ260" s="256">
        <f t="shared" si="104"/>
        <v>0</v>
      </c>
      <c r="CR260" s="256" t="str">
        <f>IF(CO260&lt;'Look Ups'!$AC$4,"Yes","No")</f>
        <v>No</v>
      </c>
      <c r="CS260" s="293">
        <f>IF(CR260="Yes",MIN(150,('Look Ups'!$AC$4-PSCR)/('Look Ups'!$AC$4-'Look Ups'!$AC$3)*100),0)</f>
        <v>0</v>
      </c>
      <c r="CT260" s="83"/>
      <c r="CU260" s="91"/>
      <c r="CV260" s="91"/>
      <c r="CW260" s="91"/>
      <c r="CX260" s="256" t="str">
        <f t="shared" si="105"/>
        <v/>
      </c>
      <c r="CY260" s="293">
        <f>IF(PUSCR&lt;'Look Ups'!$AC$4,MIN(150,('Look Ups'!$AC$4-PUSCR)/('Look Ups'!$AC$4-'Look Ups'!$AC$3)*100),0)</f>
        <v>0</v>
      </c>
      <c r="CZ260" s="275">
        <f>IF(PUSCR&lt;'Look Ups'!$AC$4,USCRF*(USCRL1+USCRL2)/4+(USCRMG-USCRF/2)*(USCRL1+USCRL2)/3,0)</f>
        <v>0</v>
      </c>
      <c r="DA260" s="294">
        <f t="shared" si="106"/>
        <v>1</v>
      </c>
      <c r="DB260" s="256">
        <f t="shared" si="107"/>
        <v>42.576863999999986</v>
      </c>
      <c r="DC260" s="256">
        <f t="shared" si="108"/>
        <v>1</v>
      </c>
      <c r="DD260" s="256">
        <f t="shared" si="109"/>
        <v>21.211229999999997</v>
      </c>
      <c r="DE260" s="256">
        <f>IF(AZ260&gt;0,'Look Ups'!$S$3,0)</f>
        <v>1</v>
      </c>
      <c r="DF260" s="256">
        <f t="shared" si="110"/>
        <v>0</v>
      </c>
      <c r="DG260" s="256">
        <f t="shared" si="111"/>
        <v>0</v>
      </c>
      <c r="DH260" s="256">
        <f t="shared" si="112"/>
        <v>0</v>
      </c>
      <c r="DI260" s="280">
        <f t="shared" si="113"/>
        <v>0</v>
      </c>
      <c r="DJ260" s="295" t="str">
        <f t="shared" si="114"/>
        <v>-</v>
      </c>
      <c r="DK260" s="266" t="str">
        <f t="shared" si="115"/>
        <v>valid</v>
      </c>
      <c r="DL260" s="267" t="str">
        <f t="shared" si="116"/>
        <v>MGSP</v>
      </c>
      <c r="DM260" s="294">
        <f t="shared" si="117"/>
        <v>63.788093999999987</v>
      </c>
      <c r="DN260" s="256">
        <f>IF(MSASP&gt;0,'Look Ups'!$AI$4*(ZVAL*MSASP-RSAG),0)</f>
        <v>22.856380999999992</v>
      </c>
      <c r="DO260" s="256">
        <f>IF(AND(MSASC&gt;0,(MSASC&gt;=0.36*RSAM)),('Look Ups'!$AI$3*(ZVAL*MSASC-RSAG)),(0))</f>
        <v>0</v>
      </c>
      <c r="DP260" s="256">
        <f>IF(MSASP&gt;0,'Look Ups'!$AI$5*(ZVAL*MSASP-RSAG),0)</f>
        <v>21.332622266666661</v>
      </c>
      <c r="DQ260" s="256">
        <f>IF(MSASC&gt;0,'Look Ups'!$AI$6*(MSASC-RSAG),0)</f>
        <v>0</v>
      </c>
      <c r="DR260" s="280">
        <f>'Look Ups'!$AI$7*MAX(IF(MSAUSC&gt;0,EUSC/100*(MSAUSC-RSAG),0),IF(CR260="Yes",ELSC/100*(MSASC-RSAG),0))</f>
        <v>0</v>
      </c>
      <c r="DS260" s="280">
        <f t="shared" si="118"/>
        <v>15.327671039999995</v>
      </c>
      <c r="DT260" s="296">
        <f t="shared" si="119"/>
        <v>86.644474999999971</v>
      </c>
      <c r="DU260" s="14"/>
    </row>
    <row r="261" spans="1:125" ht="15.6" customHeight="1" x14ac:dyDescent="0.3">
      <c r="A261" s="4"/>
      <c r="B261" s="365"/>
      <c r="C261" s="369" t="s">
        <v>886</v>
      </c>
      <c r="D261" s="370" t="s">
        <v>887</v>
      </c>
      <c r="E261" s="371" t="s">
        <v>888</v>
      </c>
      <c r="F261" s="252">
        <f t="shared" ca="1" si="90"/>
        <v>1.048</v>
      </c>
      <c r="G261" s="252" t="str">
        <f ca="1">IF(OR(FLSCR="ERROR",FLSPI="ERROR"),"No",IF(TODAY()-'Look Ups'!$D$4*365&gt;I261,"WP Applied","Yes"))</f>
        <v>WP Applied</v>
      </c>
      <c r="H261" s="253" t="str">
        <f t="shared" si="91"/>
        <v>Main-Genoa-Screacher (Upwind)-Spinnaker</v>
      </c>
      <c r="I261" s="1">
        <v>38433</v>
      </c>
      <c r="J261" s="1"/>
      <c r="K261" s="87" t="s">
        <v>445</v>
      </c>
      <c r="L261" s="87" t="s">
        <v>641</v>
      </c>
      <c r="M261" s="207"/>
      <c r="N261" s="88" t="s">
        <v>165</v>
      </c>
      <c r="O261" s="88" t="s">
        <v>144</v>
      </c>
      <c r="P261" s="89">
        <v>6</v>
      </c>
      <c r="Q261" s="90">
        <v>9.34</v>
      </c>
      <c r="R261" s="87"/>
      <c r="S261" s="256">
        <f t="shared" si="92"/>
        <v>0.23350000000000001</v>
      </c>
      <c r="T261" s="117">
        <v>0.12</v>
      </c>
      <c r="U261" s="117">
        <v>0</v>
      </c>
      <c r="V261" s="258">
        <f t="shared" si="93"/>
        <v>9.2200000000000006</v>
      </c>
      <c r="W261" s="259">
        <f>IF(RL&gt;0,IF(RL&gt;'Look Ups'!Y$7,'Look Ups'!Y$8,('Look Ups'!Y$3*RL^3+'Look Ups'!Y$4*RL^2+'Look Ups'!Y$5*RL+'Look Ups'!Y$6)),0)</f>
        <v>0.29714289578399999</v>
      </c>
      <c r="X261" s="92">
        <v>1605</v>
      </c>
      <c r="Y261" s="263">
        <f ca="1">IF(WDATE&lt;(TODAY()-'Look Ups'!$D$4*365),-WM*'Look Ups'!$D$5/100,0)</f>
        <v>-240.75</v>
      </c>
      <c r="Z261" s="103"/>
      <c r="AA261" s="109"/>
      <c r="AB261" s="109"/>
      <c r="AC261" s="265">
        <f>WCD+NC*'Look Ups'!$AF$3</f>
        <v>0</v>
      </c>
      <c r="AD261" s="265">
        <f ca="1">IF(RL&lt;'Look Ups'!AM$3,'Look Ups'!AM$4,IF(RL&gt;'Look Ups'!AM$5,'Look Ups'!AM$6,(RL-'Look Ups'!AM$3)/('Look Ups'!AM$5-'Look Ups'!AM$3)*('Look Ups'!AM$6-'Look Ups'!AM$4)+'Look Ups'!AM$4))/100*WS</f>
        <v>284.26009090909088</v>
      </c>
      <c r="AE261" s="269">
        <f t="shared" ca="1" si="94"/>
        <v>1364.25</v>
      </c>
      <c r="AF261" s="267">
        <f t="shared" ca="1" si="95"/>
        <v>1364.25</v>
      </c>
      <c r="AG261" s="94" t="s">
        <v>145</v>
      </c>
      <c r="AH261" s="95" t="s">
        <v>146</v>
      </c>
      <c r="AI261" s="96" t="s">
        <v>147</v>
      </c>
      <c r="AJ261" s="218"/>
      <c r="AK261" s="273">
        <f>IF(C261="",0,VLOOKUP(AG261,'Look Ups'!$F$3:$G$6,2,0)*VLOOKUP(AH261,'Look Ups'!$I$3:$J$5,2,0)*VLOOKUP(AI261,'Look Ups'!$L$3:$M$7,2,0)*IF(AJ261="",1,VLOOKUP(AJ261,'Look Ups'!$O$3:$P$4,2,0)))</f>
        <v>1</v>
      </c>
      <c r="AL261" s="83">
        <v>13.05</v>
      </c>
      <c r="AM261" s="91">
        <v>12.53</v>
      </c>
      <c r="AN261" s="91">
        <v>3.92</v>
      </c>
      <c r="AO261" s="91">
        <v>1.1200000000000001</v>
      </c>
      <c r="AP261" s="91">
        <v>0.97</v>
      </c>
      <c r="AQ261" s="91">
        <v>12.87</v>
      </c>
      <c r="AR261" s="91">
        <v>0.14000000000000001</v>
      </c>
      <c r="AS261" s="91">
        <v>4.0599999999999996</v>
      </c>
      <c r="AT261" s="91">
        <v>0</v>
      </c>
      <c r="AU261" s="91">
        <v>0.60000000000000009</v>
      </c>
      <c r="AV261" s="91" t="s">
        <v>148</v>
      </c>
      <c r="AW261" s="97">
        <v>0</v>
      </c>
      <c r="AX261" s="256">
        <f t="shared" si="96"/>
        <v>12.87</v>
      </c>
      <c r="AY261" s="256">
        <f t="shared" si="97"/>
        <v>2.8957500000000005</v>
      </c>
      <c r="AZ261" s="275">
        <f>IF(C261="",0,(0.5*(_ML1*LPM)+0.5*(_ML1*HB)+0.66*(P*PR)+0.66*(_ML2*RDM)+0.66*(E*ER))*VLOOKUP(BATT,'Look Ups'!$U$3:$V$4,2,0))</f>
        <v>42.096894000000006</v>
      </c>
      <c r="BA261" s="98"/>
      <c r="BB261" s="99"/>
      <c r="BC261" s="83">
        <v>11.24</v>
      </c>
      <c r="BD261" s="91">
        <v>3.07</v>
      </c>
      <c r="BE261" s="91">
        <v>3.51</v>
      </c>
      <c r="BF261" s="91">
        <v>0.04</v>
      </c>
      <c r="BG261" s="91">
        <v>10.3</v>
      </c>
      <c r="BH261" s="91"/>
      <c r="BI261" s="91"/>
      <c r="BJ261" s="91">
        <v>0.32</v>
      </c>
      <c r="BK261" s="91">
        <v>-0.01</v>
      </c>
      <c r="BL261" s="97"/>
      <c r="BM261" s="275">
        <f t="shared" si="98"/>
        <v>19.447240000000001</v>
      </c>
      <c r="BN261" s="319"/>
      <c r="BO261" s="320"/>
      <c r="BP261" s="321"/>
      <c r="BQ261" s="321"/>
      <c r="BR261" s="320"/>
      <c r="BS261" s="321"/>
      <c r="BT261" s="321"/>
      <c r="BU261" s="280">
        <f t="shared" si="99"/>
        <v>0</v>
      </c>
      <c r="BV261" s="322"/>
      <c r="BW261" s="320"/>
      <c r="BX261" s="320"/>
      <c r="BY261" s="320"/>
      <c r="BZ261" s="320"/>
      <c r="CA261" s="320"/>
      <c r="CB261" s="320"/>
      <c r="CC261" s="275">
        <f t="shared" si="100"/>
        <v>0</v>
      </c>
      <c r="CD261" s="98">
        <v>8.8699999999999992</v>
      </c>
      <c r="CE261" s="91">
        <v>15.76</v>
      </c>
      <c r="CF261" s="91">
        <v>14.33</v>
      </c>
      <c r="CG261" s="91">
        <v>8.41</v>
      </c>
      <c r="CH261" s="266">
        <f t="shared" si="101"/>
        <v>94.81397970687712</v>
      </c>
      <c r="CI261" s="320"/>
      <c r="CJ261" s="280">
        <f t="shared" si="102"/>
        <v>106.59382499999998</v>
      </c>
      <c r="CK261" s="83">
        <v>5.78</v>
      </c>
      <c r="CL261" s="91">
        <v>12.69</v>
      </c>
      <c r="CM261" s="91">
        <v>11</v>
      </c>
      <c r="CN261" s="91">
        <v>2.91</v>
      </c>
      <c r="CO261" s="256">
        <f t="shared" si="103"/>
        <v>50.346020761245683</v>
      </c>
      <c r="CP261" s="320"/>
      <c r="CQ261" s="256">
        <f t="shared" si="104"/>
        <v>34.389983333333333</v>
      </c>
      <c r="CR261" s="256" t="str">
        <f>IF(CO261&lt;'Look Ups'!$AC$4,"Yes","No")</f>
        <v>Yes</v>
      </c>
      <c r="CS261" s="293">
        <f>IF(CR261="Yes",MIN(150,('Look Ups'!$AC$4-PSCR)/('Look Ups'!$AC$4-'Look Ups'!$AC$3)*100),0)</f>
        <v>33.079584775086346</v>
      </c>
      <c r="CT261" s="83"/>
      <c r="CU261" s="91"/>
      <c r="CV261" s="91"/>
      <c r="CW261" s="91"/>
      <c r="CX261" s="256" t="str">
        <f t="shared" si="105"/>
        <v/>
      </c>
      <c r="CY261" s="293">
        <f>IF(PUSCR&lt;'Look Ups'!$AC$4,MIN(150,('Look Ups'!$AC$4-PUSCR)/('Look Ups'!$AC$4-'Look Ups'!$AC$3)*100),0)</f>
        <v>0</v>
      </c>
      <c r="CZ261" s="275">
        <f>IF(PUSCR&lt;'Look Ups'!$AC$4,USCRF*(USCRL1+USCRL2)/4+(USCRMG-USCRF/2)*(USCRL1+USCRL2)/3,0)</f>
        <v>0</v>
      </c>
      <c r="DA261" s="294">
        <f t="shared" si="106"/>
        <v>1</v>
      </c>
      <c r="DB261" s="256">
        <f t="shared" si="107"/>
        <v>44.992644000000006</v>
      </c>
      <c r="DC261" s="256">
        <f t="shared" si="108"/>
        <v>1</v>
      </c>
      <c r="DD261" s="256">
        <f t="shared" si="109"/>
        <v>19.447240000000001</v>
      </c>
      <c r="DE261" s="256">
        <f>IF(AZ261&gt;0,'Look Ups'!$S$3,0)</f>
        <v>1</v>
      </c>
      <c r="DF261" s="256">
        <f t="shared" si="110"/>
        <v>0</v>
      </c>
      <c r="DG261" s="256">
        <f t="shared" si="111"/>
        <v>0</v>
      </c>
      <c r="DH261" s="256">
        <f t="shared" si="112"/>
        <v>0</v>
      </c>
      <c r="DI261" s="280">
        <f t="shared" si="113"/>
        <v>0</v>
      </c>
      <c r="DJ261" s="295" t="str">
        <f t="shared" si="114"/>
        <v>valid</v>
      </c>
      <c r="DK261" s="266" t="str">
        <f t="shared" si="115"/>
        <v>valid</v>
      </c>
      <c r="DL261" s="267" t="str">
        <f t="shared" si="116"/>
        <v>MGScrSP</v>
      </c>
      <c r="DM261" s="294">
        <f t="shared" si="117"/>
        <v>64.439884000000006</v>
      </c>
      <c r="DN261" s="256">
        <f>IF(MSASP&gt;0,'Look Ups'!$AI$4*(ZVAL*MSASP-RSAG),0)</f>
        <v>26.143975499999996</v>
      </c>
      <c r="DO261" s="256">
        <f>IF(AND(MSASC&gt;0,(MSASC&gt;=0.36*RSAM)),('Look Ups'!$AI$3*(ZVAL*MSASC-RSAG)),(0))</f>
        <v>5.2299601666666664</v>
      </c>
      <c r="DP261" s="256">
        <f>IF(MSASP&gt;0,'Look Ups'!$AI$5*(ZVAL*MSASP-RSAG),0)</f>
        <v>24.4010438</v>
      </c>
      <c r="DQ261" s="256">
        <f>IF(MSASC&gt;0,'Look Ups'!$AI$6*(MSASC-RSAG),0)</f>
        <v>1.0459920333333335</v>
      </c>
      <c r="DR261" s="280">
        <f>'Look Ups'!$AI$7*MAX(IF(MSAUSC&gt;0,EUSC/100*(MSAUSC-RSAG),0),IF(CR261="Yes",ELSC/100*(MSASC-RSAG),0))</f>
        <v>1.2357493621683908</v>
      </c>
      <c r="DS261" s="280">
        <f t="shared" si="118"/>
        <v>16.197351840000003</v>
      </c>
      <c r="DT261" s="296">
        <f t="shared" si="119"/>
        <v>91.122669195501729</v>
      </c>
      <c r="DU261" s="14"/>
    </row>
    <row r="262" spans="1:125" ht="15.6" customHeight="1" x14ac:dyDescent="0.3">
      <c r="A262" s="4"/>
      <c r="B262" s="365"/>
      <c r="C262" s="369" t="s">
        <v>889</v>
      </c>
      <c r="D262" s="370" t="s">
        <v>558</v>
      </c>
      <c r="E262" s="371" t="s">
        <v>890</v>
      </c>
      <c r="F262" s="252">
        <f t="shared" ca="1" si="90"/>
        <v>1.0269999999999999</v>
      </c>
      <c r="G262" s="252" t="str">
        <f ca="1">IF(OR(FLSCR="ERROR",FLSPI="ERROR"),"No",IF(TODAY()-'Look Ups'!$D$4*365&gt;I262,"WP Applied","Yes"))</f>
        <v>WP Applied</v>
      </c>
      <c r="H262" s="253" t="str">
        <f t="shared" si="91"/>
        <v>Main-Genoa-Spinnaker</v>
      </c>
      <c r="I262" s="1">
        <v>39499</v>
      </c>
      <c r="J262" s="1"/>
      <c r="K262" s="87" t="s">
        <v>244</v>
      </c>
      <c r="L262" s="87" t="s">
        <v>589</v>
      </c>
      <c r="M262" s="207"/>
      <c r="N262" s="88" t="s">
        <v>165</v>
      </c>
      <c r="O262" s="88" t="s">
        <v>144</v>
      </c>
      <c r="P262" s="89"/>
      <c r="Q262" s="90">
        <v>9.34</v>
      </c>
      <c r="R262" s="87"/>
      <c r="S262" s="256">
        <f t="shared" si="92"/>
        <v>0.23350000000000001</v>
      </c>
      <c r="T262" s="117">
        <v>0.12</v>
      </c>
      <c r="U262" s="117">
        <v>0</v>
      </c>
      <c r="V262" s="258">
        <f t="shared" si="93"/>
        <v>9.2200000000000006</v>
      </c>
      <c r="W262" s="259">
        <f>IF(RL&gt;0,IF(RL&gt;'Look Ups'!Y$7,'Look Ups'!Y$8,('Look Ups'!Y$3*RL^3+'Look Ups'!Y$4*RL^2+'Look Ups'!Y$5*RL+'Look Ups'!Y$6)),0)</f>
        <v>0.29714289578399999</v>
      </c>
      <c r="X262" s="92">
        <f>1730</f>
        <v>1730</v>
      </c>
      <c r="Y262" s="263">
        <f ca="1">IF(WDATE&lt;(TODAY()-'Look Ups'!$D$4*365),-WM*'Look Ups'!$D$5/100,0)</f>
        <v>-259.5</v>
      </c>
      <c r="Z262" s="103"/>
      <c r="AA262" s="109"/>
      <c r="AB262" s="109"/>
      <c r="AC262" s="265">
        <f>WCD+NC*'Look Ups'!$AF$3</f>
        <v>0</v>
      </c>
      <c r="AD262" s="265">
        <f ca="1">IF(RL&lt;'Look Ups'!AM$3,'Look Ups'!AM$4,IF(RL&gt;'Look Ups'!AM$5,'Look Ups'!AM$6,(RL-'Look Ups'!AM$3)/('Look Ups'!AM$5-'Look Ups'!AM$3)*('Look Ups'!AM$6-'Look Ups'!AM$4)+'Look Ups'!AM$4))/100*WS</f>
        <v>306.39872727272723</v>
      </c>
      <c r="AE262" s="269">
        <f t="shared" ca="1" si="94"/>
        <v>1470.5</v>
      </c>
      <c r="AF262" s="267">
        <f t="shared" ca="1" si="95"/>
        <v>1470.5</v>
      </c>
      <c r="AG262" s="94" t="s">
        <v>145</v>
      </c>
      <c r="AH262" s="95" t="s">
        <v>146</v>
      </c>
      <c r="AI262" s="96" t="s">
        <v>147</v>
      </c>
      <c r="AJ262" s="218"/>
      <c r="AK262" s="273">
        <f>IF(C262="",0,VLOOKUP(AG262,'Look Ups'!$F$3:$G$6,2,0)*VLOOKUP(AH262,'Look Ups'!$I$3:$J$5,2,0)*VLOOKUP(AI262,'Look Ups'!$L$3:$M$7,2,0)*IF(AJ262="",1,VLOOKUP(AJ262,'Look Ups'!$O$3:$P$4,2,0)))</f>
        <v>1</v>
      </c>
      <c r="AL262" s="83">
        <v>14.02</v>
      </c>
      <c r="AM262" s="91">
        <v>13.82</v>
      </c>
      <c r="AN262" s="91">
        <v>3.86</v>
      </c>
      <c r="AO262" s="91">
        <v>1.44</v>
      </c>
      <c r="AP262" s="91">
        <v>0.43</v>
      </c>
      <c r="AQ262" s="91">
        <v>14.13</v>
      </c>
      <c r="AR262" s="91">
        <v>0.14000000000000001</v>
      </c>
      <c r="AS262" s="91">
        <v>3.87</v>
      </c>
      <c r="AT262" s="91">
        <v>0.03</v>
      </c>
      <c r="AU262" s="91">
        <v>0.62</v>
      </c>
      <c r="AV262" s="91" t="s">
        <v>148</v>
      </c>
      <c r="AW262" s="97"/>
      <c r="AX262" s="256">
        <f t="shared" si="96"/>
        <v>14.16</v>
      </c>
      <c r="AY262" s="256">
        <f t="shared" si="97"/>
        <v>3.2852250000000001</v>
      </c>
      <c r="AZ262" s="275">
        <f>IF(C262="",0,(0.5*(_ML1*LPM)+0.5*(_ML1*HB)+0.66*(P*PR)+0.66*(_ML2*RDM)+0.66*(E*ER))*VLOOKUP(BATT,'Look Ups'!$U$3:$V$4,2,0))</f>
        <v>42.457354000000002</v>
      </c>
      <c r="BA262" s="98"/>
      <c r="BB262" s="99"/>
      <c r="BC262" s="83">
        <v>12.54</v>
      </c>
      <c r="BD262" s="91">
        <v>3.2</v>
      </c>
      <c r="BE262" s="91">
        <v>3.43</v>
      </c>
      <c r="BF262" s="91">
        <v>0.15</v>
      </c>
      <c r="BG262" s="91">
        <v>11.75</v>
      </c>
      <c r="BH262" s="91"/>
      <c r="BI262" s="91"/>
      <c r="BJ262" s="91">
        <v>0.16</v>
      </c>
      <c r="BK262" s="91">
        <v>0.05</v>
      </c>
      <c r="BL262" s="97" t="s">
        <v>446</v>
      </c>
      <c r="BM262" s="275">
        <f t="shared" si="98"/>
        <v>22.05819</v>
      </c>
      <c r="BN262" s="319"/>
      <c r="BO262" s="320"/>
      <c r="BP262" s="321"/>
      <c r="BQ262" s="321"/>
      <c r="BR262" s="320"/>
      <c r="BS262" s="321"/>
      <c r="BT262" s="321"/>
      <c r="BU262" s="280">
        <f t="shared" si="99"/>
        <v>0</v>
      </c>
      <c r="BV262" s="322"/>
      <c r="BW262" s="320"/>
      <c r="BX262" s="320"/>
      <c r="BY262" s="320"/>
      <c r="BZ262" s="320"/>
      <c r="CA262" s="320"/>
      <c r="CB262" s="320"/>
      <c r="CC262" s="275">
        <f t="shared" si="100"/>
        <v>0</v>
      </c>
      <c r="CD262" s="98">
        <v>9.94</v>
      </c>
      <c r="CE262" s="91">
        <v>15.37</v>
      </c>
      <c r="CF262" s="91">
        <v>13.32</v>
      </c>
      <c r="CG262" s="91">
        <v>8.35</v>
      </c>
      <c r="CH262" s="266">
        <f t="shared" si="101"/>
        <v>84.00402414486922</v>
      </c>
      <c r="CI262" s="320"/>
      <c r="CJ262" s="280">
        <f t="shared" si="102"/>
        <v>103.61871666666664</v>
      </c>
      <c r="CK262" s="83"/>
      <c r="CL262" s="91"/>
      <c r="CM262" s="91"/>
      <c r="CN262" s="91"/>
      <c r="CO262" s="256" t="str">
        <f t="shared" si="103"/>
        <v/>
      </c>
      <c r="CP262" s="320"/>
      <c r="CQ262" s="256">
        <f t="shared" si="104"/>
        <v>0</v>
      </c>
      <c r="CR262" s="256" t="str">
        <f>IF(CO262&lt;'Look Ups'!$AC$4,"Yes","No")</f>
        <v>No</v>
      </c>
      <c r="CS262" s="293">
        <f>IF(CR262="Yes",MIN(150,('Look Ups'!$AC$4-PSCR)/('Look Ups'!$AC$4-'Look Ups'!$AC$3)*100),0)</f>
        <v>0</v>
      </c>
      <c r="CT262" s="83"/>
      <c r="CU262" s="91"/>
      <c r="CV262" s="91"/>
      <c r="CW262" s="91"/>
      <c r="CX262" s="256" t="str">
        <f t="shared" si="105"/>
        <v/>
      </c>
      <c r="CY262" s="293">
        <f>IF(PUSCR&lt;'Look Ups'!$AC$4,MIN(150,('Look Ups'!$AC$4-PUSCR)/('Look Ups'!$AC$4-'Look Ups'!$AC$3)*100),0)</f>
        <v>0</v>
      </c>
      <c r="CZ262" s="275">
        <f>IF(PUSCR&lt;'Look Ups'!$AC$4,USCRF*(USCRL1+USCRL2)/4+(USCRMG-USCRF/2)*(USCRL1+USCRL2)/3,0)</f>
        <v>0</v>
      </c>
      <c r="DA262" s="294">
        <f t="shared" si="106"/>
        <v>1</v>
      </c>
      <c r="DB262" s="256">
        <f t="shared" si="107"/>
        <v>45.742578999999999</v>
      </c>
      <c r="DC262" s="256">
        <f t="shared" si="108"/>
        <v>1</v>
      </c>
      <c r="DD262" s="256">
        <f t="shared" si="109"/>
        <v>22.05819</v>
      </c>
      <c r="DE262" s="256">
        <f>IF(AZ262&gt;0,'Look Ups'!$S$3,0)</f>
        <v>1</v>
      </c>
      <c r="DF262" s="256">
        <f t="shared" si="110"/>
        <v>0</v>
      </c>
      <c r="DG262" s="256">
        <f t="shared" si="111"/>
        <v>0</v>
      </c>
      <c r="DH262" s="256">
        <f t="shared" si="112"/>
        <v>0</v>
      </c>
      <c r="DI262" s="280">
        <f t="shared" si="113"/>
        <v>0</v>
      </c>
      <c r="DJ262" s="295" t="str">
        <f t="shared" si="114"/>
        <v>-</v>
      </c>
      <c r="DK262" s="266" t="str">
        <f t="shared" si="115"/>
        <v>valid</v>
      </c>
      <c r="DL262" s="267" t="str">
        <f t="shared" si="116"/>
        <v>MGSP</v>
      </c>
      <c r="DM262" s="294">
        <f t="shared" si="117"/>
        <v>67.800769000000003</v>
      </c>
      <c r="DN262" s="256">
        <f>IF(MSASP&gt;0,'Look Ups'!$AI$4*(ZVAL*MSASP-RSAG),0)</f>
        <v>24.468157999999992</v>
      </c>
      <c r="DO262" s="256">
        <f>IF(AND(MSASC&gt;0,(MSASC&gt;=0.36*RSAM)),('Look Ups'!$AI$3*(ZVAL*MSASC-RSAG)),(0))</f>
        <v>0</v>
      </c>
      <c r="DP262" s="256">
        <f>IF(MSASP&gt;0,'Look Ups'!$AI$5*(ZVAL*MSASP-RSAG),0)</f>
        <v>22.836947466666665</v>
      </c>
      <c r="DQ262" s="256">
        <f>IF(MSASC&gt;0,'Look Ups'!$AI$6*(MSASC-RSAG),0)</f>
        <v>0</v>
      </c>
      <c r="DR262" s="280">
        <f>'Look Ups'!$AI$7*MAX(IF(MSAUSC&gt;0,EUSC/100*(MSAUSC-RSAG),0),IF(CR262="Yes",ELSC/100*(MSASC-RSAG),0))</f>
        <v>0</v>
      </c>
      <c r="DS262" s="280">
        <f t="shared" si="118"/>
        <v>16.467328439999999</v>
      </c>
      <c r="DT262" s="296">
        <f t="shared" si="119"/>
        <v>92.268926999999991</v>
      </c>
      <c r="DU262" s="14"/>
    </row>
    <row r="263" spans="1:125" ht="15.6" customHeight="1" x14ac:dyDescent="0.3">
      <c r="A263" s="4"/>
      <c r="B263" s="365"/>
      <c r="C263" s="369" t="s">
        <v>891</v>
      </c>
      <c r="D263" s="370" t="s">
        <v>892</v>
      </c>
      <c r="E263" s="371" t="s">
        <v>893</v>
      </c>
      <c r="F263" s="252">
        <f t="shared" ca="1" si="90"/>
        <v>0.66700000000000004</v>
      </c>
      <c r="G263" s="252" t="str">
        <f ca="1">IF(OR(FLSCR="ERROR",FLSPI="ERROR"),"No",IF(TODAY()-'Look Ups'!$D$4*365&gt;I263,"WP Applied","Yes"))</f>
        <v>WP Applied</v>
      </c>
      <c r="H263" s="253" t="str">
        <f t="shared" si="91"/>
        <v>Main-Genoa-Screacher-Spinnaker</v>
      </c>
      <c r="I263" s="1">
        <v>37884</v>
      </c>
      <c r="J263" s="1"/>
      <c r="K263" s="87" t="s">
        <v>730</v>
      </c>
      <c r="L263" s="87" t="s">
        <v>641</v>
      </c>
      <c r="M263" s="207"/>
      <c r="N263" s="88" t="s">
        <v>271</v>
      </c>
      <c r="O263" s="88"/>
      <c r="P263" s="89">
        <v>4.5</v>
      </c>
      <c r="Q263" s="90">
        <v>5.96</v>
      </c>
      <c r="R263" s="87"/>
      <c r="S263" s="256">
        <f t="shared" si="92"/>
        <v>0.14899999999999999</v>
      </c>
      <c r="T263" s="117">
        <v>0.4</v>
      </c>
      <c r="U263" s="117">
        <v>0</v>
      </c>
      <c r="V263" s="258">
        <f t="shared" si="93"/>
        <v>5.56</v>
      </c>
      <c r="W263" s="259">
        <f>IF(RL&gt;0,IF(RL&gt;'Look Ups'!Y$7,'Look Ups'!Y$8,('Look Ups'!Y$3*RL^3+'Look Ups'!Y$4*RL^2+'Look Ups'!Y$5*RL+'Look Ups'!Y$6)),0)</f>
        <v>0.28131298732800003</v>
      </c>
      <c r="X263" s="92">
        <v>850</v>
      </c>
      <c r="Y263" s="263">
        <f ca="1">IF(WDATE&lt;(TODAY()-'Look Ups'!$D$4*365),-WM*'Look Ups'!$D$5/100,0)</f>
        <v>-127.5</v>
      </c>
      <c r="Z263" s="103"/>
      <c r="AA263" s="109"/>
      <c r="AB263" s="109"/>
      <c r="AC263" s="265">
        <f>WCD+NC*'Look Ups'!$AF$3</f>
        <v>0</v>
      </c>
      <c r="AD263" s="265">
        <f ca="1">IF(RL&lt;'Look Ups'!AM$3,'Look Ups'!AM$4,IF(RL&gt;'Look Ups'!AM$5,'Look Ups'!AM$6,(RL-'Look Ups'!AM$3)/('Look Ups'!AM$5-'Look Ups'!AM$3)*('Look Ups'!AM$6-'Look Ups'!AM$4)+'Look Ups'!AM$4))/100*WS</f>
        <v>216.75</v>
      </c>
      <c r="AE263" s="269">
        <f t="shared" ca="1" si="94"/>
        <v>722.5</v>
      </c>
      <c r="AF263" s="267">
        <f t="shared" ca="1" si="95"/>
        <v>722.5</v>
      </c>
      <c r="AG263" s="94" t="s">
        <v>155</v>
      </c>
      <c r="AH263" s="95" t="s">
        <v>146</v>
      </c>
      <c r="AI263" s="96" t="s">
        <v>147</v>
      </c>
      <c r="AJ263" s="218"/>
      <c r="AK263" s="273">
        <f>IF(C263="",0,VLOOKUP(AG263,'Look Ups'!$F$3:$G$6,2,0)*VLOOKUP(AH263,'Look Ups'!$I$3:$J$5,2,0)*VLOOKUP(AI263,'Look Ups'!$L$3:$M$7,2,0)*IF(AJ263="",1,VLOOKUP(AJ263,'Look Ups'!$O$3:$P$4,2,0)))</f>
        <v>0.99</v>
      </c>
      <c r="AL263" s="83">
        <v>7.64</v>
      </c>
      <c r="AM263" s="91">
        <v>7.4</v>
      </c>
      <c r="AN263" s="91">
        <v>2.27</v>
      </c>
      <c r="AO263" s="91">
        <v>0.68</v>
      </c>
      <c r="AP263" s="91">
        <v>0.78</v>
      </c>
      <c r="AQ263" s="91">
        <v>7.2</v>
      </c>
      <c r="AR263" s="91">
        <v>0.05</v>
      </c>
      <c r="AS263" s="91">
        <v>2.4</v>
      </c>
      <c r="AT263" s="91">
        <v>0.03</v>
      </c>
      <c r="AU263" s="91">
        <v>0</v>
      </c>
      <c r="AV263" s="91" t="s">
        <v>148</v>
      </c>
      <c r="AW263" s="97">
        <v>0</v>
      </c>
      <c r="AX263" s="256">
        <f t="shared" si="96"/>
        <v>7.23</v>
      </c>
      <c r="AY263" s="256">
        <f t="shared" si="97"/>
        <v>0</v>
      </c>
      <c r="AZ263" s="275">
        <f>IF(C263="",0,(0.5*(_ML1*LPM)+0.5*(_ML1*HB)+0.66*(P*PR)+0.66*(_ML2*RDM)+0.66*(E*ER))*VLOOKUP(BATT,'Look Ups'!$U$3:$V$4,2,0))</f>
        <v>15.363640000000002</v>
      </c>
      <c r="BA263" s="98"/>
      <c r="BB263" s="99"/>
      <c r="BC263" s="83">
        <v>6.05</v>
      </c>
      <c r="BD263" s="91">
        <v>2.04</v>
      </c>
      <c r="BE263" s="91">
        <v>2.1800000000000002</v>
      </c>
      <c r="BF263" s="91">
        <v>0.02</v>
      </c>
      <c r="BG263" s="91">
        <v>5.7</v>
      </c>
      <c r="BH263" s="91"/>
      <c r="BI263" s="91"/>
      <c r="BJ263" s="91">
        <v>-0.04</v>
      </c>
      <c r="BK263" s="91">
        <v>-0.05</v>
      </c>
      <c r="BL263" s="97"/>
      <c r="BM263" s="275">
        <f t="shared" si="98"/>
        <v>5.8496459999999999</v>
      </c>
      <c r="BN263" s="319"/>
      <c r="BO263" s="320"/>
      <c r="BP263" s="321"/>
      <c r="BQ263" s="321"/>
      <c r="BR263" s="320"/>
      <c r="BS263" s="321"/>
      <c r="BT263" s="321"/>
      <c r="BU263" s="280">
        <f t="shared" si="99"/>
        <v>0</v>
      </c>
      <c r="BV263" s="322"/>
      <c r="BW263" s="320"/>
      <c r="BX263" s="320"/>
      <c r="BY263" s="320"/>
      <c r="BZ263" s="320"/>
      <c r="CA263" s="320"/>
      <c r="CB263" s="320"/>
      <c r="CC263" s="275">
        <f t="shared" si="100"/>
        <v>0</v>
      </c>
      <c r="CD263" s="98">
        <v>4.66</v>
      </c>
      <c r="CE263" s="91">
        <v>8.2200000000000006</v>
      </c>
      <c r="CF263" s="91">
        <v>8.2200000000000006</v>
      </c>
      <c r="CG263" s="91">
        <v>4</v>
      </c>
      <c r="CH263" s="266">
        <f t="shared" si="101"/>
        <v>85.836909871244643</v>
      </c>
      <c r="CI263" s="320"/>
      <c r="CJ263" s="280">
        <f t="shared" si="102"/>
        <v>28.304200000000002</v>
      </c>
      <c r="CK263" s="83">
        <v>4.47</v>
      </c>
      <c r="CL263" s="91">
        <v>6.93</v>
      </c>
      <c r="CM263" s="91">
        <v>6.1</v>
      </c>
      <c r="CN263" s="91">
        <v>2.38</v>
      </c>
      <c r="CO263" s="256">
        <f t="shared" si="103"/>
        <v>53.243847874720359</v>
      </c>
      <c r="CP263" s="320"/>
      <c r="CQ263" s="256">
        <f t="shared" si="104"/>
        <v>15.190808333333333</v>
      </c>
      <c r="CR263" s="256" t="str">
        <f>IF(CO263&lt;'Look Ups'!$AC$4,"Yes","No")</f>
        <v>No</v>
      </c>
      <c r="CS263" s="293">
        <f>IF(CR263="Yes",MIN(150,('Look Ups'!$AC$4-PSCR)/('Look Ups'!$AC$4-'Look Ups'!$AC$3)*100),0)</f>
        <v>0</v>
      </c>
      <c r="CT263" s="83"/>
      <c r="CU263" s="91"/>
      <c r="CV263" s="91"/>
      <c r="CW263" s="91"/>
      <c r="CX263" s="256" t="str">
        <f t="shared" si="105"/>
        <v/>
      </c>
      <c r="CY263" s="293">
        <f>IF(PUSCR&lt;'Look Ups'!$AC$4,MIN(150,('Look Ups'!$AC$4-PUSCR)/('Look Ups'!$AC$4-'Look Ups'!$AC$3)*100),0)</f>
        <v>0</v>
      </c>
      <c r="CZ263" s="275">
        <f>IF(PUSCR&lt;'Look Ups'!$AC$4,USCRF*(USCRL1+USCRL2)/4+(USCRMG-USCRF/2)*(USCRL1+USCRL2)/3,0)</f>
        <v>0</v>
      </c>
      <c r="DA263" s="294">
        <f t="shared" si="106"/>
        <v>1</v>
      </c>
      <c r="DB263" s="256">
        <f t="shared" si="107"/>
        <v>15.363640000000004</v>
      </c>
      <c r="DC263" s="256">
        <f t="shared" si="108"/>
        <v>1</v>
      </c>
      <c r="DD263" s="256">
        <f t="shared" si="109"/>
        <v>5.8496459999999999</v>
      </c>
      <c r="DE263" s="256">
        <f>IF(AZ263&gt;0,'Look Ups'!$S$3,0)</f>
        <v>1</v>
      </c>
      <c r="DF263" s="256">
        <f t="shared" si="110"/>
        <v>0</v>
      </c>
      <c r="DG263" s="256">
        <f t="shared" si="111"/>
        <v>0</v>
      </c>
      <c r="DH263" s="256">
        <f t="shared" si="112"/>
        <v>0</v>
      </c>
      <c r="DI263" s="280">
        <f t="shared" si="113"/>
        <v>0</v>
      </c>
      <c r="DJ263" s="295" t="str">
        <f t="shared" si="114"/>
        <v>valid</v>
      </c>
      <c r="DK263" s="266" t="str">
        <f t="shared" si="115"/>
        <v>valid</v>
      </c>
      <c r="DL263" s="267" t="str">
        <f t="shared" si="116"/>
        <v>MGScrSP</v>
      </c>
      <c r="DM263" s="294">
        <f t="shared" si="117"/>
        <v>21.213286000000004</v>
      </c>
      <c r="DN263" s="256">
        <f>IF(MSASP&gt;0,'Look Ups'!$AI$4*(ZVAL*MSASP-RSAG),0)</f>
        <v>6.7363662</v>
      </c>
      <c r="DO263" s="256">
        <f>IF(AND(MSASC&gt;0,(MSASC&gt;=0.36*RSAM)),('Look Ups'!$AI$3*(ZVAL*MSASC-RSAG)),(0))</f>
        <v>3.2694068166666663</v>
      </c>
      <c r="DP263" s="256">
        <f>IF(MSASP&gt;0,'Look Ups'!$AI$5*(ZVAL*MSASP-RSAG),0)</f>
        <v>6.2872751200000012</v>
      </c>
      <c r="DQ263" s="256">
        <f>IF(MSASC&gt;0,'Look Ups'!$AI$6*(MSASC-RSAG),0)</f>
        <v>0.65388136333333335</v>
      </c>
      <c r="DR263" s="280">
        <f>'Look Ups'!$AI$7*MAX(IF(MSAUSC&gt;0,EUSC/100*(MSAUSC-RSAG),0),IF(CR263="Yes",ELSC/100*(MSASC-RSAG),0))</f>
        <v>0</v>
      </c>
      <c r="DS263" s="280">
        <f t="shared" si="118"/>
        <v>5.5309104000000016</v>
      </c>
      <c r="DT263" s="296">
        <f t="shared" si="119"/>
        <v>28.154442483333337</v>
      </c>
      <c r="DU263" s="14"/>
    </row>
    <row r="264" spans="1:125" ht="15.6" customHeight="1" x14ac:dyDescent="0.3">
      <c r="A264" s="4"/>
      <c r="B264" s="365"/>
      <c r="C264" s="369" t="s">
        <v>894</v>
      </c>
      <c r="D264" s="370" t="s">
        <v>895</v>
      </c>
      <c r="E264" s="371" t="s">
        <v>896</v>
      </c>
      <c r="F264" s="252">
        <f t="shared" ca="1" si="90"/>
        <v>0.67900000000000005</v>
      </c>
      <c r="G264" s="252" t="str">
        <f ca="1">IF(OR(FLSCR="ERROR",FLSPI="ERROR"),"No",IF(TODAY()-'Look Ups'!$D$4*365&gt;I264,"WP Applied","Yes"))</f>
        <v>WP Applied</v>
      </c>
      <c r="H264" s="253" t="str">
        <f t="shared" si="91"/>
        <v>Main-Genoa-Screacher</v>
      </c>
      <c r="I264" s="1">
        <v>39039</v>
      </c>
      <c r="J264" s="1">
        <v>39039</v>
      </c>
      <c r="K264" s="87" t="s">
        <v>240</v>
      </c>
      <c r="L264" s="87" t="s">
        <v>240</v>
      </c>
      <c r="M264" s="207"/>
      <c r="N264" s="88" t="s">
        <v>271</v>
      </c>
      <c r="O264" s="88"/>
      <c r="P264" s="89"/>
      <c r="Q264" s="90">
        <v>6.8</v>
      </c>
      <c r="R264" s="87"/>
      <c r="S264" s="256">
        <f t="shared" si="92"/>
        <v>0.17</v>
      </c>
      <c r="T264" s="117">
        <v>0.42</v>
      </c>
      <c r="U264" s="117">
        <v>0</v>
      </c>
      <c r="V264" s="258">
        <f t="shared" si="93"/>
        <v>6.38</v>
      </c>
      <c r="W264" s="259">
        <f>IF(RL&gt;0,IF(RL&gt;'Look Ups'!Y$7,'Look Ups'!Y$8,('Look Ups'!Y$3*RL^3+'Look Ups'!Y$4*RL^2+'Look Ups'!Y$5*RL+'Look Ups'!Y$6)),0)</f>
        <v>0.286493744376</v>
      </c>
      <c r="X264" s="92">
        <v>1200</v>
      </c>
      <c r="Y264" s="263">
        <f ca="1">IF(WDATE&lt;(TODAY()-'Look Ups'!$D$4*365),-WM*'Look Ups'!$D$5/100,0)</f>
        <v>-180</v>
      </c>
      <c r="Z264" s="103"/>
      <c r="AA264" s="109"/>
      <c r="AB264" s="109"/>
      <c r="AC264" s="265">
        <f>WCD+NC*'Look Ups'!$AF$3</f>
        <v>0</v>
      </c>
      <c r="AD264" s="265">
        <f ca="1">IF(RL&lt;'Look Ups'!AM$3,'Look Ups'!AM$4,IF(RL&gt;'Look Ups'!AM$5,'Look Ups'!AM$6,(RL-'Look Ups'!AM$3)/('Look Ups'!AM$5-'Look Ups'!AM$3)*('Look Ups'!AM$6-'Look Ups'!AM$4)+'Look Ups'!AM$4))/100*WS</f>
        <v>306</v>
      </c>
      <c r="AE264" s="269">
        <f t="shared" ca="1" si="94"/>
        <v>1020</v>
      </c>
      <c r="AF264" s="267">
        <f t="shared" ca="1" si="95"/>
        <v>1020</v>
      </c>
      <c r="AG264" s="94" t="s">
        <v>155</v>
      </c>
      <c r="AH264" s="95" t="s">
        <v>146</v>
      </c>
      <c r="AI264" s="96" t="s">
        <v>147</v>
      </c>
      <c r="AJ264" s="218"/>
      <c r="AK264" s="273">
        <f>IF(C264="",0,VLOOKUP(AG264,'Look Ups'!$F$3:$G$6,2,0)*VLOOKUP(AH264,'Look Ups'!$I$3:$J$5,2,0)*VLOOKUP(AI264,'Look Ups'!$L$3:$M$7,2,0)*IF(AJ264="",1,VLOOKUP(AJ264,'Look Ups'!$O$3:$P$4,2,0)))</f>
        <v>0.99</v>
      </c>
      <c r="AL264" s="83">
        <v>8.3699999999999992</v>
      </c>
      <c r="AM264" s="91">
        <v>8.17</v>
      </c>
      <c r="AN264" s="91">
        <v>2.57</v>
      </c>
      <c r="AO264" s="91">
        <v>0.60000000000000009</v>
      </c>
      <c r="AP264" s="91">
        <v>0.46</v>
      </c>
      <c r="AQ264" s="91">
        <v>8.3000000000000007</v>
      </c>
      <c r="AR264" s="91">
        <v>0.125</v>
      </c>
      <c r="AS264" s="91">
        <v>2.6</v>
      </c>
      <c r="AT264" s="91">
        <v>0</v>
      </c>
      <c r="AU264" s="91">
        <v>0</v>
      </c>
      <c r="AV264" s="91" t="s">
        <v>148</v>
      </c>
      <c r="AW264" s="97">
        <v>0</v>
      </c>
      <c r="AX264" s="256">
        <f t="shared" si="96"/>
        <v>8.3000000000000007</v>
      </c>
      <c r="AY264" s="256">
        <f t="shared" si="97"/>
        <v>0</v>
      </c>
      <c r="AZ264" s="275">
        <f>IF(C264="",0,(0.5*(_ML1*LPM)+0.5*(_ML1*HB)+0.66*(P*PR)+0.66*(_ML2*RDM)+0.66*(E*ER))*VLOOKUP(BATT,'Look Ups'!$U$3:$V$4,2,0))</f>
        <v>16.431611999999998</v>
      </c>
      <c r="BA264" s="98"/>
      <c r="BB264" s="99"/>
      <c r="BC264" s="83">
        <v>8.36</v>
      </c>
      <c r="BD264" s="91">
        <v>2.8130000000000002</v>
      </c>
      <c r="BE264" s="91">
        <v>3.1</v>
      </c>
      <c r="BF264" s="91">
        <v>1.8000000000000002E-2</v>
      </c>
      <c r="BG264" s="91">
        <v>7.25</v>
      </c>
      <c r="BH264" s="91"/>
      <c r="BI264" s="91"/>
      <c r="BJ264" s="91">
        <v>-1.2E-2</v>
      </c>
      <c r="BK264" s="91">
        <v>0</v>
      </c>
      <c r="BL264" s="97">
        <v>0</v>
      </c>
      <c r="BM264" s="275">
        <f t="shared" si="98"/>
        <v>11.737748</v>
      </c>
      <c r="BN264" s="319"/>
      <c r="BO264" s="320"/>
      <c r="BP264" s="321"/>
      <c r="BQ264" s="321"/>
      <c r="BR264" s="320"/>
      <c r="BS264" s="321"/>
      <c r="BT264" s="321"/>
      <c r="BU264" s="280">
        <f t="shared" si="99"/>
        <v>0</v>
      </c>
      <c r="BV264" s="322"/>
      <c r="BW264" s="320"/>
      <c r="BX264" s="320"/>
      <c r="BY264" s="320"/>
      <c r="BZ264" s="320"/>
      <c r="CA264" s="320"/>
      <c r="CB264" s="320"/>
      <c r="CC264" s="275">
        <f t="shared" si="100"/>
        <v>0</v>
      </c>
      <c r="CD264" s="98"/>
      <c r="CE264" s="91"/>
      <c r="CF264" s="91"/>
      <c r="CG264" s="91"/>
      <c r="CH264" s="266" t="str">
        <f t="shared" si="101"/>
        <v/>
      </c>
      <c r="CI264" s="320"/>
      <c r="CJ264" s="280">
        <f t="shared" si="102"/>
        <v>0</v>
      </c>
      <c r="CK264" s="83">
        <v>5.68</v>
      </c>
      <c r="CL264" s="91">
        <v>9.48</v>
      </c>
      <c r="CM264" s="91">
        <v>7.58</v>
      </c>
      <c r="CN264" s="91">
        <v>3.83</v>
      </c>
      <c r="CO264" s="256">
        <f t="shared" si="103"/>
        <v>67.429577464788736</v>
      </c>
      <c r="CP264" s="320"/>
      <c r="CQ264" s="256">
        <f t="shared" si="104"/>
        <v>29.855000000000004</v>
      </c>
      <c r="CR264" s="256" t="str">
        <f>IF(CO264&lt;'Look Ups'!$AC$4,"Yes","No")</f>
        <v>No</v>
      </c>
      <c r="CS264" s="293">
        <f>IF(CR264="Yes",MIN(150,('Look Ups'!$AC$4-PSCR)/('Look Ups'!$AC$4-'Look Ups'!$AC$3)*100),0)</f>
        <v>0</v>
      </c>
      <c r="CT264" s="83"/>
      <c r="CU264" s="91"/>
      <c r="CV264" s="91"/>
      <c r="CW264" s="91"/>
      <c r="CX264" s="256" t="str">
        <f t="shared" si="105"/>
        <v/>
      </c>
      <c r="CY264" s="293">
        <f>IF(PUSCR&lt;'Look Ups'!$AC$4,MIN(150,('Look Ups'!$AC$4-PUSCR)/('Look Ups'!$AC$4-'Look Ups'!$AC$3)*100),0)</f>
        <v>0</v>
      </c>
      <c r="CZ264" s="275">
        <f>IF(PUSCR&lt;'Look Ups'!$AC$4,USCRF*(USCRL1+USCRL2)/4+(USCRMG-USCRF/2)*(USCRL1+USCRL2)/3,0)</f>
        <v>0</v>
      </c>
      <c r="DA264" s="294">
        <f t="shared" si="106"/>
        <v>1</v>
      </c>
      <c r="DB264" s="256">
        <f t="shared" si="107"/>
        <v>16.431611999999998</v>
      </c>
      <c r="DC264" s="256">
        <f t="shared" si="108"/>
        <v>1</v>
      </c>
      <c r="DD264" s="256">
        <f t="shared" si="109"/>
        <v>11.737748</v>
      </c>
      <c r="DE264" s="256">
        <f>IF(AZ264&gt;0,'Look Ups'!$S$3,0)</f>
        <v>1</v>
      </c>
      <c r="DF264" s="256">
        <f t="shared" si="110"/>
        <v>0</v>
      </c>
      <c r="DG264" s="256">
        <f t="shared" si="111"/>
        <v>0</v>
      </c>
      <c r="DH264" s="256">
        <f t="shared" si="112"/>
        <v>0</v>
      </c>
      <c r="DI264" s="280">
        <f t="shared" si="113"/>
        <v>0</v>
      </c>
      <c r="DJ264" s="295" t="str">
        <f t="shared" si="114"/>
        <v>valid</v>
      </c>
      <c r="DK264" s="266" t="str">
        <f t="shared" si="115"/>
        <v>-</v>
      </c>
      <c r="DL264" s="267" t="str">
        <f t="shared" si="116"/>
        <v>MGScr</v>
      </c>
      <c r="DM264" s="294">
        <f t="shared" si="117"/>
        <v>28.169359999999998</v>
      </c>
      <c r="DN264" s="256">
        <f>IF(MSASP&gt;0,'Look Ups'!$AI$4*(ZVAL*MSASP-RSAG),0)</f>
        <v>0</v>
      </c>
      <c r="DO264" s="256">
        <f>IF(AND(MSASC&gt;0,(MSASC&gt;=0.36*RSAM)),('Look Ups'!$AI$3*(ZVAL*MSASC-RSAG)),(0))</f>
        <v>6.3410382000000007</v>
      </c>
      <c r="DP264" s="256">
        <f>IF(MSASP&gt;0,'Look Ups'!$AI$5*(ZVAL*MSASP-RSAG),0)</f>
        <v>0</v>
      </c>
      <c r="DQ264" s="256">
        <f>IF(MSASC&gt;0,'Look Ups'!$AI$6*(MSASC-RSAG),0)</f>
        <v>1.2682076400000004</v>
      </c>
      <c r="DR264" s="280">
        <f>'Look Ups'!$AI$7*MAX(IF(MSAUSC&gt;0,EUSC/100*(MSAUSC-RSAG),0),IF(CR264="Yes",ELSC/100*(MSASC-RSAG),0))</f>
        <v>0</v>
      </c>
      <c r="DS264" s="280">
        <f t="shared" si="118"/>
        <v>5.9153803199999988</v>
      </c>
      <c r="DT264" s="296">
        <f t="shared" si="119"/>
        <v>34.510398199999997</v>
      </c>
      <c r="DU264" s="14"/>
    </row>
    <row r="265" spans="1:125" ht="15.6" customHeight="1" x14ac:dyDescent="0.3">
      <c r="A265" s="4"/>
      <c r="B265" s="365"/>
      <c r="C265" s="369" t="s">
        <v>897</v>
      </c>
      <c r="D265" s="370" t="s">
        <v>898</v>
      </c>
      <c r="E265" s="371" t="s">
        <v>899</v>
      </c>
      <c r="F265" s="252">
        <f t="shared" ca="1" si="90"/>
        <v>0.88800000000000001</v>
      </c>
      <c r="G265" s="252" t="str">
        <f ca="1">IF(OR(FLSCR="ERROR",FLSPI="ERROR"),"No",IF(TODAY()-'Look Ups'!$D$4*365&gt;I265,"WP Applied","Yes"))</f>
        <v>WP Applied</v>
      </c>
      <c r="H265" s="253" t="str">
        <f t="shared" si="91"/>
        <v>Main-Genoa-Spinnaker</v>
      </c>
      <c r="I265" s="1">
        <v>35832</v>
      </c>
      <c r="J265" s="1"/>
      <c r="K265" s="87" t="s">
        <v>602</v>
      </c>
      <c r="L265" s="87" t="s">
        <v>589</v>
      </c>
      <c r="M265" s="207"/>
      <c r="N265" s="88" t="s">
        <v>165</v>
      </c>
      <c r="O265" s="88"/>
      <c r="P265" s="89">
        <v>7.9</v>
      </c>
      <c r="Q265" s="90">
        <v>12.1</v>
      </c>
      <c r="R265" s="87"/>
      <c r="S265" s="256">
        <f t="shared" si="92"/>
        <v>0.30249999999999999</v>
      </c>
      <c r="T265" s="117">
        <v>0.5</v>
      </c>
      <c r="U265" s="117">
        <v>0</v>
      </c>
      <c r="V265" s="258">
        <f t="shared" si="93"/>
        <v>11.6</v>
      </c>
      <c r="W265" s="259">
        <f>IF(RL&gt;0,IF(RL&gt;'Look Ups'!Y$7,'Look Ups'!Y$8,('Look Ups'!Y$3*RL^3+'Look Ups'!Y$4*RL^2+'Look Ups'!Y$5*RL+'Look Ups'!Y$6)),0)</f>
        <v>0.29982556800000004</v>
      </c>
      <c r="X265" s="92">
        <v>4789</v>
      </c>
      <c r="Y265" s="263">
        <f ca="1">IF(WDATE&lt;(TODAY()-'Look Ups'!$D$4*365),-WM*'Look Ups'!$D$5/100,0)</f>
        <v>-718.35</v>
      </c>
      <c r="Z265" s="103"/>
      <c r="AA265" s="109"/>
      <c r="AB265" s="109"/>
      <c r="AC265" s="265">
        <f>WCD+NC*'Look Ups'!$AF$3</f>
        <v>0</v>
      </c>
      <c r="AD265" s="265">
        <f ca="1">IF(RL&lt;'Look Ups'!AM$3,'Look Ups'!AM$4,IF(RL&gt;'Look Ups'!AM$5,'Look Ups'!AM$6,(RL-'Look Ups'!AM$3)/('Look Ups'!AM$5-'Look Ups'!AM$3)*('Look Ups'!AM$6-'Look Ups'!AM$4)+'Look Ups'!AM$4))/100*WS</f>
        <v>495.87918181818173</v>
      </c>
      <c r="AE265" s="269">
        <f t="shared" ca="1" si="94"/>
        <v>4070.65</v>
      </c>
      <c r="AF265" s="267">
        <f t="shared" ca="1" si="95"/>
        <v>4070.65</v>
      </c>
      <c r="AG265" s="94" t="s">
        <v>145</v>
      </c>
      <c r="AH265" s="95" t="s">
        <v>146</v>
      </c>
      <c r="AI265" s="96" t="s">
        <v>177</v>
      </c>
      <c r="AJ265" s="218"/>
      <c r="AK265" s="273">
        <f>IF(C265="",0,VLOOKUP(AG265,'Look Ups'!$F$3:$G$6,2,0)*VLOOKUP(AH265,'Look Ups'!$I$3:$J$5,2,0)*VLOOKUP(AI265,'Look Ups'!$L$3:$M$7,2,0)*IF(AJ265="",1,VLOOKUP(AJ265,'Look Ups'!$O$3:$P$4,2,0)))</f>
        <v>0.99</v>
      </c>
      <c r="AL265" s="83">
        <v>15.44</v>
      </c>
      <c r="AM265" s="91">
        <v>13.7</v>
      </c>
      <c r="AN265" s="91">
        <v>4.9000000000000004</v>
      </c>
      <c r="AO265" s="91">
        <v>1.9</v>
      </c>
      <c r="AP265" s="91">
        <v>1.45</v>
      </c>
      <c r="AQ265" s="91">
        <v>14.6</v>
      </c>
      <c r="AR265" s="91">
        <v>0.115</v>
      </c>
      <c r="AS265" s="91">
        <v>5.17</v>
      </c>
      <c r="AT265" s="91">
        <v>0</v>
      </c>
      <c r="AU265" s="91">
        <v>1.2</v>
      </c>
      <c r="AV265" s="91" t="s">
        <v>148</v>
      </c>
      <c r="AW265" s="97">
        <v>0</v>
      </c>
      <c r="AX265" s="256">
        <f t="shared" si="96"/>
        <v>14.6</v>
      </c>
      <c r="AY265" s="256">
        <f t="shared" si="97"/>
        <v>6.5699999999999994</v>
      </c>
      <c r="AZ265" s="275">
        <f>IF(C265="",0,(0.5*(_ML1*LPM)+0.5*(_ML1*HB)+0.66*(P*PR)+0.66*(_ML2*RDM)+0.66*(E*ER))*VLOOKUP(BATT,'Look Ups'!$U$3:$V$4,2,0))</f>
        <v>66.715040000000002</v>
      </c>
      <c r="BA265" s="98"/>
      <c r="BB265" s="99"/>
      <c r="BC265" s="83">
        <v>12.57</v>
      </c>
      <c r="BD265" s="91">
        <v>4.9000000000000004</v>
      </c>
      <c r="BE265" s="91">
        <v>5.66</v>
      </c>
      <c r="BF265" s="91">
        <v>0.13</v>
      </c>
      <c r="BG265" s="91">
        <v>11.66</v>
      </c>
      <c r="BH265" s="91"/>
      <c r="BI265" s="91"/>
      <c r="BJ265" s="91">
        <v>-0.23</v>
      </c>
      <c r="BK265" s="91">
        <v>-0.08</v>
      </c>
      <c r="BL265" s="97"/>
      <c r="BM265" s="275">
        <f t="shared" si="98"/>
        <v>28.848443999999997</v>
      </c>
      <c r="BN265" s="319"/>
      <c r="BO265" s="320"/>
      <c r="BP265" s="321"/>
      <c r="BQ265" s="321"/>
      <c r="BR265" s="320"/>
      <c r="BS265" s="321"/>
      <c r="BT265" s="321"/>
      <c r="BU265" s="280">
        <f t="shared" si="99"/>
        <v>0</v>
      </c>
      <c r="BV265" s="322"/>
      <c r="BW265" s="320"/>
      <c r="BX265" s="320"/>
      <c r="BY265" s="320"/>
      <c r="BZ265" s="320"/>
      <c r="CA265" s="320"/>
      <c r="CB265" s="320"/>
      <c r="CC265" s="275">
        <f t="shared" si="100"/>
        <v>0</v>
      </c>
      <c r="CD265" s="98">
        <v>8.8000000000000007</v>
      </c>
      <c r="CE265" s="91">
        <v>14.12</v>
      </c>
      <c r="CF265" s="91">
        <v>14.05</v>
      </c>
      <c r="CG265" s="91">
        <v>8.9</v>
      </c>
      <c r="CH265" s="266">
        <f t="shared" si="101"/>
        <v>101.13636363636363</v>
      </c>
      <c r="CI265" s="320"/>
      <c r="CJ265" s="280">
        <f t="shared" si="102"/>
        <v>104.22900000000001</v>
      </c>
      <c r="CK265" s="83"/>
      <c r="CL265" s="91"/>
      <c r="CM265" s="91"/>
      <c r="CN265" s="91"/>
      <c r="CO265" s="256" t="str">
        <f t="shared" si="103"/>
        <v/>
      </c>
      <c r="CP265" s="320"/>
      <c r="CQ265" s="256">
        <f t="shared" si="104"/>
        <v>0</v>
      </c>
      <c r="CR265" s="256" t="str">
        <f>IF(CO265&lt;'Look Ups'!$AC$4,"Yes","No")</f>
        <v>No</v>
      </c>
      <c r="CS265" s="293">
        <f>IF(CR265="Yes",MIN(150,('Look Ups'!$AC$4-PSCR)/('Look Ups'!$AC$4-'Look Ups'!$AC$3)*100),0)</f>
        <v>0</v>
      </c>
      <c r="CT265" s="83"/>
      <c r="CU265" s="91"/>
      <c r="CV265" s="91"/>
      <c r="CW265" s="91"/>
      <c r="CX265" s="256" t="str">
        <f t="shared" si="105"/>
        <v/>
      </c>
      <c r="CY265" s="293">
        <f>IF(PUSCR&lt;'Look Ups'!$AC$4,MIN(150,('Look Ups'!$AC$4-PUSCR)/('Look Ups'!$AC$4-'Look Ups'!$AC$3)*100),0)</f>
        <v>0</v>
      </c>
      <c r="CZ265" s="275">
        <f>IF(PUSCR&lt;'Look Ups'!$AC$4,USCRF*(USCRL1+USCRL2)/4+(USCRMG-USCRF/2)*(USCRL1+USCRL2)/3,0)</f>
        <v>0</v>
      </c>
      <c r="DA265" s="294">
        <f t="shared" si="106"/>
        <v>1</v>
      </c>
      <c r="DB265" s="256">
        <f t="shared" si="107"/>
        <v>73.285039999999995</v>
      </c>
      <c r="DC265" s="256">
        <f t="shared" si="108"/>
        <v>1</v>
      </c>
      <c r="DD265" s="256">
        <f t="shared" si="109"/>
        <v>28.848443999999997</v>
      </c>
      <c r="DE265" s="256">
        <f>IF(AZ265&gt;0,'Look Ups'!$S$3,0)</f>
        <v>1</v>
      </c>
      <c r="DF265" s="256">
        <f t="shared" si="110"/>
        <v>0</v>
      </c>
      <c r="DG265" s="256">
        <f t="shared" si="111"/>
        <v>0</v>
      </c>
      <c r="DH265" s="256">
        <f t="shared" si="112"/>
        <v>0</v>
      </c>
      <c r="DI265" s="280">
        <f t="shared" si="113"/>
        <v>0</v>
      </c>
      <c r="DJ265" s="295" t="str">
        <f t="shared" si="114"/>
        <v>-</v>
      </c>
      <c r="DK265" s="266" t="str">
        <f t="shared" si="115"/>
        <v>valid</v>
      </c>
      <c r="DL265" s="267" t="str">
        <f t="shared" si="116"/>
        <v>MGSP</v>
      </c>
      <c r="DM265" s="294">
        <f t="shared" si="117"/>
        <v>102.133484</v>
      </c>
      <c r="DN265" s="256">
        <f>IF(MSASP&gt;0,'Look Ups'!$AI$4*(ZVAL*MSASP-RSAG),0)</f>
        <v>22.614166800000003</v>
      </c>
      <c r="DO265" s="256">
        <f>IF(AND(MSASC&gt;0,(MSASC&gt;=0.36*RSAM)),('Look Ups'!$AI$3*(ZVAL*MSASC-RSAG)),(0))</f>
        <v>0</v>
      </c>
      <c r="DP265" s="256">
        <f>IF(MSASP&gt;0,'Look Ups'!$AI$5*(ZVAL*MSASP-RSAG),0)</f>
        <v>21.106555680000007</v>
      </c>
      <c r="DQ265" s="256">
        <f>IF(MSASC&gt;0,'Look Ups'!$AI$6*(MSASC-RSAG),0)</f>
        <v>0</v>
      </c>
      <c r="DR265" s="280">
        <f>'Look Ups'!$AI$7*MAX(IF(MSAUSC&gt;0,EUSC/100*(MSAUSC-RSAG),0),IF(CR265="Yes",ELSC/100*(MSASC-RSAG),0))</f>
        <v>0</v>
      </c>
      <c r="DS265" s="280">
        <f t="shared" si="118"/>
        <v>26.382614399999998</v>
      </c>
      <c r="DT265" s="296">
        <f t="shared" si="119"/>
        <v>124.7476508</v>
      </c>
      <c r="DU265" s="14"/>
    </row>
    <row r="266" spans="1:125" ht="15.6" customHeight="1" x14ac:dyDescent="0.3">
      <c r="A266" s="4"/>
      <c r="B266" s="365"/>
      <c r="C266" s="369" t="s">
        <v>900</v>
      </c>
      <c r="D266" s="370" t="s">
        <v>726</v>
      </c>
      <c r="E266" s="371" t="s">
        <v>901</v>
      </c>
      <c r="F266" s="252">
        <f t="shared" ca="1" si="90"/>
        <v>0.7</v>
      </c>
      <c r="G266" s="252" t="str">
        <f ca="1">IF(OR(FLSCR="ERROR",FLSPI="ERROR"),"No",IF(TODAY()-'Look Ups'!$D$4*365&gt;I266,"WP Applied","Yes"))</f>
        <v>WP Applied</v>
      </c>
      <c r="H266" s="253" t="str">
        <f t="shared" si="91"/>
        <v>Main-Genoa-Spinnaker</v>
      </c>
      <c r="I266" s="1">
        <v>39101</v>
      </c>
      <c r="J266" s="1">
        <v>39101</v>
      </c>
      <c r="K266" s="87" t="s">
        <v>365</v>
      </c>
      <c r="L266" s="87" t="s">
        <v>159</v>
      </c>
      <c r="M266" s="207"/>
      <c r="N266" s="88" t="s">
        <v>271</v>
      </c>
      <c r="O266" s="88"/>
      <c r="P266" s="89">
        <v>4.5</v>
      </c>
      <c r="Q266" s="90">
        <v>5.92</v>
      </c>
      <c r="R266" s="87"/>
      <c r="S266" s="256">
        <f t="shared" si="92"/>
        <v>0.14799999999999999</v>
      </c>
      <c r="T266" s="117">
        <v>0.34</v>
      </c>
      <c r="U266" s="117">
        <v>0</v>
      </c>
      <c r="V266" s="258">
        <f t="shared" si="93"/>
        <v>5.58</v>
      </c>
      <c r="W266" s="259">
        <f>IF(RL&gt;0,IF(RL&gt;'Look Ups'!Y$7,'Look Ups'!Y$8,('Look Ups'!Y$3*RL^3+'Look Ups'!Y$4*RL^2+'Look Ups'!Y$5*RL+'Look Ups'!Y$6)),0)</f>
        <v>0.28145249669600003</v>
      </c>
      <c r="X266" s="92">
        <v>820</v>
      </c>
      <c r="Y266" s="263">
        <f ca="1">IF(WDATE&lt;(TODAY()-'Look Ups'!$D$4*365),-WM*'Look Ups'!$D$5/100,0)</f>
        <v>-123</v>
      </c>
      <c r="Z266" s="103"/>
      <c r="AA266" s="109"/>
      <c r="AB266" s="109"/>
      <c r="AC266" s="265">
        <f>WCD+NC*'Look Ups'!$AF$3</f>
        <v>0</v>
      </c>
      <c r="AD266" s="265">
        <f ca="1">IF(RL&lt;'Look Ups'!AM$3,'Look Ups'!AM$4,IF(RL&gt;'Look Ups'!AM$5,'Look Ups'!AM$6,(RL-'Look Ups'!AM$3)/('Look Ups'!AM$5-'Look Ups'!AM$3)*('Look Ups'!AM$6-'Look Ups'!AM$4)+'Look Ups'!AM$4))/100*WS</f>
        <v>209.1</v>
      </c>
      <c r="AE266" s="269">
        <f t="shared" ca="1" si="94"/>
        <v>697</v>
      </c>
      <c r="AF266" s="267">
        <f t="shared" ca="1" si="95"/>
        <v>697</v>
      </c>
      <c r="AG266" s="94" t="s">
        <v>155</v>
      </c>
      <c r="AH266" s="95" t="s">
        <v>146</v>
      </c>
      <c r="AI266" s="96" t="s">
        <v>147</v>
      </c>
      <c r="AJ266" s="218"/>
      <c r="AK266" s="273">
        <f>IF(C266="",0,VLOOKUP(AG266,'Look Ups'!$F$3:$G$6,2,0)*VLOOKUP(AH266,'Look Ups'!$I$3:$J$5,2,0)*VLOOKUP(AI266,'Look Ups'!$L$3:$M$7,2,0)*IF(AJ266="",1,VLOOKUP(AJ266,'Look Ups'!$O$3:$P$4,2,0)))</f>
        <v>0.99</v>
      </c>
      <c r="AL266" s="83">
        <v>7.48</v>
      </c>
      <c r="AM266" s="91">
        <v>7.44</v>
      </c>
      <c r="AN266" s="91">
        <v>2.2599999999999998</v>
      </c>
      <c r="AO266" s="91">
        <v>0.76</v>
      </c>
      <c r="AP266" s="91">
        <v>0.32</v>
      </c>
      <c r="AQ266" s="91">
        <v>7.17</v>
      </c>
      <c r="AR266" s="91">
        <v>0.13</v>
      </c>
      <c r="AS266" s="91">
        <v>2.39</v>
      </c>
      <c r="AT266" s="91">
        <v>0.05</v>
      </c>
      <c r="AU266" s="91"/>
      <c r="AV266" s="91" t="s">
        <v>148</v>
      </c>
      <c r="AW266" s="97" t="s">
        <v>902</v>
      </c>
      <c r="AX266" s="256">
        <f t="shared" si="96"/>
        <v>7.22</v>
      </c>
      <c r="AY266" s="256">
        <f t="shared" si="97"/>
        <v>0</v>
      </c>
      <c r="AZ266" s="275">
        <f>IF(C266="",0,(0.5*(_ML1*LPM)+0.5*(_ML1*HB)+0.66*(P*PR)+0.66*(_ML2*RDM)+0.66*(E*ER))*VLOOKUP(BATT,'Look Ups'!$U$3:$V$4,2,0))</f>
        <v>13.560183999999998</v>
      </c>
      <c r="BA266" s="98"/>
      <c r="BB266" s="99"/>
      <c r="BC266" s="83">
        <v>6.48</v>
      </c>
      <c r="BD266" s="91">
        <v>1.9300000000000002</v>
      </c>
      <c r="BE266" s="91">
        <v>2.2200000000000002</v>
      </c>
      <c r="BF266" s="91">
        <v>0.06</v>
      </c>
      <c r="BG266" s="91">
        <v>5.74</v>
      </c>
      <c r="BH266" s="91"/>
      <c r="BI266" s="91"/>
      <c r="BJ266" s="91">
        <v>0.09</v>
      </c>
      <c r="BK266" s="91">
        <v>0.05</v>
      </c>
      <c r="BL266" s="97"/>
      <c r="BM266" s="275">
        <f t="shared" si="98"/>
        <v>6.8959080000000013</v>
      </c>
      <c r="BN266" s="319"/>
      <c r="BO266" s="320"/>
      <c r="BP266" s="321"/>
      <c r="BQ266" s="321"/>
      <c r="BR266" s="320"/>
      <c r="BS266" s="321"/>
      <c r="BT266" s="321"/>
      <c r="BU266" s="280">
        <f t="shared" si="99"/>
        <v>0</v>
      </c>
      <c r="BV266" s="322"/>
      <c r="BW266" s="320"/>
      <c r="BX266" s="320"/>
      <c r="BY266" s="320"/>
      <c r="BZ266" s="320"/>
      <c r="CA266" s="320"/>
      <c r="CB266" s="320"/>
      <c r="CC266" s="275">
        <f t="shared" si="100"/>
        <v>0</v>
      </c>
      <c r="CD266" s="98">
        <v>5.45</v>
      </c>
      <c r="CE266" s="91">
        <v>8.6</v>
      </c>
      <c r="CF266" s="91">
        <v>8.6</v>
      </c>
      <c r="CG266" s="91">
        <v>5.82</v>
      </c>
      <c r="CH266" s="266">
        <f t="shared" si="101"/>
        <v>106.78899082568807</v>
      </c>
      <c r="CI266" s="320"/>
      <c r="CJ266" s="280">
        <f t="shared" si="102"/>
        <v>41.179666666666662</v>
      </c>
      <c r="CK266" s="83"/>
      <c r="CL266" s="91"/>
      <c r="CM266" s="91"/>
      <c r="CN266" s="91"/>
      <c r="CO266" s="256" t="str">
        <f t="shared" si="103"/>
        <v/>
      </c>
      <c r="CP266" s="320"/>
      <c r="CQ266" s="256">
        <f t="shared" si="104"/>
        <v>0</v>
      </c>
      <c r="CR266" s="256" t="str">
        <f>IF(CO266&lt;'Look Ups'!$AC$4,"Yes","No")</f>
        <v>No</v>
      </c>
      <c r="CS266" s="293">
        <f>IF(CR266="Yes",MIN(150,('Look Ups'!$AC$4-PSCR)/('Look Ups'!$AC$4-'Look Ups'!$AC$3)*100),0)</f>
        <v>0</v>
      </c>
      <c r="CT266" s="83"/>
      <c r="CU266" s="91"/>
      <c r="CV266" s="91"/>
      <c r="CW266" s="91"/>
      <c r="CX266" s="256" t="str">
        <f t="shared" si="105"/>
        <v/>
      </c>
      <c r="CY266" s="293">
        <f>IF(PUSCR&lt;'Look Ups'!$AC$4,MIN(150,('Look Ups'!$AC$4-PUSCR)/('Look Ups'!$AC$4-'Look Ups'!$AC$3)*100),0)</f>
        <v>0</v>
      </c>
      <c r="CZ266" s="275">
        <f>IF(PUSCR&lt;'Look Ups'!$AC$4,USCRF*(USCRL1+USCRL2)/4+(USCRMG-USCRF/2)*(USCRL1+USCRL2)/3,0)</f>
        <v>0</v>
      </c>
      <c r="DA266" s="294">
        <f t="shared" si="106"/>
        <v>1</v>
      </c>
      <c r="DB266" s="256">
        <f t="shared" si="107"/>
        <v>13.560184</v>
      </c>
      <c r="DC266" s="256">
        <f t="shared" si="108"/>
        <v>1</v>
      </c>
      <c r="DD266" s="256">
        <f t="shared" si="109"/>
        <v>6.8959080000000013</v>
      </c>
      <c r="DE266" s="256">
        <f>IF(AZ266&gt;0,'Look Ups'!$S$3,0)</f>
        <v>1</v>
      </c>
      <c r="DF266" s="256">
        <f t="shared" si="110"/>
        <v>0</v>
      </c>
      <c r="DG266" s="256">
        <f t="shared" si="111"/>
        <v>0</v>
      </c>
      <c r="DH266" s="256">
        <f t="shared" si="112"/>
        <v>0</v>
      </c>
      <c r="DI266" s="280">
        <f t="shared" si="113"/>
        <v>0</v>
      </c>
      <c r="DJ266" s="295" t="str">
        <f t="shared" si="114"/>
        <v>-</v>
      </c>
      <c r="DK266" s="266" t="str">
        <f t="shared" si="115"/>
        <v>valid</v>
      </c>
      <c r="DL266" s="267" t="str">
        <f t="shared" si="116"/>
        <v>MGSP</v>
      </c>
      <c r="DM266" s="294">
        <f t="shared" si="117"/>
        <v>20.456092000000002</v>
      </c>
      <c r="DN266" s="256">
        <f>IF(MSASP&gt;0,'Look Ups'!$AI$4*(ZVAL*MSASP-RSAG),0)</f>
        <v>10.285127599999999</v>
      </c>
      <c r="DO266" s="256">
        <f>IF(AND(MSASC&gt;0,(MSASC&gt;=0.36*RSAM)),('Look Ups'!$AI$3*(ZVAL*MSASC-RSAG)),(0))</f>
        <v>0</v>
      </c>
      <c r="DP266" s="256">
        <f>IF(MSASP&gt;0,'Look Ups'!$AI$5*(ZVAL*MSASP-RSAG),0)</f>
        <v>9.5994524266666676</v>
      </c>
      <c r="DQ266" s="256">
        <f>IF(MSASC&gt;0,'Look Ups'!$AI$6*(MSASC-RSAG),0)</f>
        <v>0</v>
      </c>
      <c r="DR266" s="280">
        <f>'Look Ups'!$AI$7*MAX(IF(MSAUSC&gt;0,EUSC/100*(MSAUSC-RSAG),0),IF(CR266="Yes",ELSC/100*(MSASC-RSAG),0))</f>
        <v>0</v>
      </c>
      <c r="DS266" s="280">
        <f t="shared" si="118"/>
        <v>4.8816662399999995</v>
      </c>
      <c r="DT266" s="296">
        <f t="shared" si="119"/>
        <v>30.741219600000001</v>
      </c>
      <c r="DU266" s="14"/>
    </row>
    <row r="267" spans="1:125" ht="15.6" customHeight="1" x14ac:dyDescent="0.3">
      <c r="A267" s="4"/>
      <c r="B267" s="365"/>
      <c r="C267" s="369" t="s">
        <v>903</v>
      </c>
      <c r="D267" s="370" t="s">
        <v>904</v>
      </c>
      <c r="E267" s="371" t="s">
        <v>905</v>
      </c>
      <c r="F267" s="252">
        <f t="shared" ca="1" si="90"/>
        <v>1.204</v>
      </c>
      <c r="G267" s="252" t="str">
        <f ca="1">IF(OR(FLSCR="ERROR",FLSPI="ERROR"),"No",IF(TODAY()-'Look Ups'!$D$4*365&gt;I267,"WP Applied","Yes"))</f>
        <v>WP Applied</v>
      </c>
      <c r="H267" s="253" t="str">
        <f t="shared" si="91"/>
        <v>Main-Genoa-Screacher</v>
      </c>
      <c r="I267" s="1">
        <v>38073</v>
      </c>
      <c r="J267" s="1"/>
      <c r="K267" s="87" t="s">
        <v>594</v>
      </c>
      <c r="L267" s="87" t="s">
        <v>641</v>
      </c>
      <c r="M267" s="207"/>
      <c r="N267" s="88" t="s">
        <v>165</v>
      </c>
      <c r="O267" s="88"/>
      <c r="P267" s="89"/>
      <c r="Q267" s="90">
        <v>17.18</v>
      </c>
      <c r="R267" s="87"/>
      <c r="S267" s="256">
        <f t="shared" si="92"/>
        <v>0.42949999999999999</v>
      </c>
      <c r="T267" s="117">
        <v>0</v>
      </c>
      <c r="U267" s="117">
        <v>0</v>
      </c>
      <c r="V267" s="258">
        <f t="shared" si="93"/>
        <v>17.18</v>
      </c>
      <c r="W267" s="259">
        <f>IF(RL&gt;0,IF(RL&gt;'Look Ups'!Y$7,'Look Ups'!Y$8,('Look Ups'!Y$3*RL^3+'Look Ups'!Y$4*RL^2+'Look Ups'!Y$5*RL+'Look Ups'!Y$6)),0)</f>
        <v>0.3</v>
      </c>
      <c r="X267" s="92">
        <v>7350</v>
      </c>
      <c r="Y267" s="263">
        <f ca="1">IF(WDATE&lt;(TODAY()-'Look Ups'!$D$4*365),-WM*'Look Ups'!$D$5/100,0)</f>
        <v>-1102.5</v>
      </c>
      <c r="Z267" s="103"/>
      <c r="AA267" s="109"/>
      <c r="AB267" s="109"/>
      <c r="AC267" s="265">
        <f>WCD+NC*'Look Ups'!$AF$3</f>
        <v>0</v>
      </c>
      <c r="AD267" s="265">
        <f ca="1">IF(RL&lt;'Look Ups'!AM$3,'Look Ups'!AM$4,IF(RL&gt;'Look Ups'!AM$5,'Look Ups'!AM$6,(RL-'Look Ups'!AM$3)/('Look Ups'!AM$5-'Look Ups'!AM$3)*('Look Ups'!AM$6-'Look Ups'!AM$4)+'Look Ups'!AM$4))/100*WS</f>
        <v>624.75</v>
      </c>
      <c r="AE267" s="269">
        <f t="shared" ca="1" si="94"/>
        <v>6247.5</v>
      </c>
      <c r="AF267" s="267">
        <f t="shared" ca="1" si="95"/>
        <v>6247.5</v>
      </c>
      <c r="AG267" s="94" t="s">
        <v>145</v>
      </c>
      <c r="AH267" s="95" t="s">
        <v>146</v>
      </c>
      <c r="AI267" s="96" t="s">
        <v>177</v>
      </c>
      <c r="AJ267" s="218"/>
      <c r="AK267" s="273">
        <f>IF(C267="",0,VLOOKUP(AG267,'Look Ups'!$F$3:$G$6,2,0)*VLOOKUP(AH267,'Look Ups'!$I$3:$J$5,2,0)*VLOOKUP(AI267,'Look Ups'!$L$3:$M$7,2,0)*IF(AJ267="",1,VLOOKUP(AJ267,'Look Ups'!$O$3:$P$4,2,0)))</f>
        <v>0.99</v>
      </c>
      <c r="AL267" s="83">
        <v>24.9</v>
      </c>
      <c r="AM267" s="91">
        <v>24.44</v>
      </c>
      <c r="AN267" s="91">
        <v>6.63</v>
      </c>
      <c r="AO267" s="91">
        <v>2.0099999999999998</v>
      </c>
      <c r="AP267" s="91">
        <v>1.9</v>
      </c>
      <c r="AQ267" s="91">
        <v>24.54</v>
      </c>
      <c r="AR267" s="91">
        <v>0.56000000000000005</v>
      </c>
      <c r="AS267" s="91">
        <v>6.68</v>
      </c>
      <c r="AT267" s="91">
        <v>7.0000000000000007E-2</v>
      </c>
      <c r="AU267" s="91">
        <v>1.58</v>
      </c>
      <c r="AV267" s="91" t="s">
        <v>148</v>
      </c>
      <c r="AW267" s="97">
        <v>0</v>
      </c>
      <c r="AX267" s="256">
        <f t="shared" si="96"/>
        <v>24.61</v>
      </c>
      <c r="AY267" s="256">
        <f t="shared" si="97"/>
        <v>14.539950000000001</v>
      </c>
      <c r="AZ267" s="275">
        <f>IF(C267="",0,(0.5*(_ML1*LPM)+0.5*(_ML1*HB)+0.66*(P*PR)+0.66*(_ML2*RDM)+0.66*(E*ER))*VLOOKUP(BATT,'Look Ups'!$U$3:$V$4,2,0))</f>
        <v>147.59435999999999</v>
      </c>
      <c r="BA267" s="98"/>
      <c r="BB267" s="99"/>
      <c r="BC267" s="83">
        <v>19.670000000000002</v>
      </c>
      <c r="BD267" s="91">
        <v>7.19</v>
      </c>
      <c r="BE267" s="91">
        <v>6.95</v>
      </c>
      <c r="BF267" s="91">
        <v>0.12</v>
      </c>
      <c r="BG267" s="91">
        <v>17.36</v>
      </c>
      <c r="BH267" s="91"/>
      <c r="BI267" s="91"/>
      <c r="BJ267" s="91">
        <v>-0.06</v>
      </c>
      <c r="BK267" s="91">
        <v>0.25</v>
      </c>
      <c r="BL267" s="97">
        <v>0</v>
      </c>
      <c r="BM267" s="275">
        <f t="shared" si="98"/>
        <v>73.822184000000007</v>
      </c>
      <c r="BN267" s="319"/>
      <c r="BO267" s="320"/>
      <c r="BP267" s="321"/>
      <c r="BQ267" s="321"/>
      <c r="BR267" s="320"/>
      <c r="BS267" s="321"/>
      <c r="BT267" s="321"/>
      <c r="BU267" s="280">
        <f t="shared" si="99"/>
        <v>0</v>
      </c>
      <c r="BV267" s="322"/>
      <c r="BW267" s="320"/>
      <c r="BX267" s="320"/>
      <c r="BY267" s="320"/>
      <c r="BZ267" s="320"/>
      <c r="CA267" s="320"/>
      <c r="CB267" s="320"/>
      <c r="CC267" s="275">
        <f t="shared" si="100"/>
        <v>0</v>
      </c>
      <c r="CD267" s="98"/>
      <c r="CE267" s="91"/>
      <c r="CF267" s="91"/>
      <c r="CG267" s="91"/>
      <c r="CH267" s="266" t="str">
        <f t="shared" si="101"/>
        <v/>
      </c>
      <c r="CI267" s="320"/>
      <c r="CJ267" s="280">
        <f t="shared" si="102"/>
        <v>0</v>
      </c>
      <c r="CK267" s="83">
        <v>13.5</v>
      </c>
      <c r="CL267" s="91">
        <v>23.6</v>
      </c>
      <c r="CM267" s="91">
        <v>21.9</v>
      </c>
      <c r="CN267" s="91">
        <v>10</v>
      </c>
      <c r="CO267" s="256">
        <f t="shared" si="103"/>
        <v>74.074074074074076</v>
      </c>
      <c r="CP267" s="320"/>
      <c r="CQ267" s="256">
        <f t="shared" si="104"/>
        <v>202.85416666666666</v>
      </c>
      <c r="CR267" s="256" t="str">
        <f>IF(CO267&lt;'Look Ups'!$AC$4,"Yes","No")</f>
        <v>No</v>
      </c>
      <c r="CS267" s="293">
        <f>IF(CR267="Yes",MIN(150,('Look Ups'!$AC$4-PSCR)/('Look Ups'!$AC$4-'Look Ups'!$AC$3)*100),0)</f>
        <v>0</v>
      </c>
      <c r="CT267" s="83"/>
      <c r="CU267" s="91"/>
      <c r="CV267" s="91"/>
      <c r="CW267" s="91"/>
      <c r="CX267" s="256" t="str">
        <f t="shared" si="105"/>
        <v/>
      </c>
      <c r="CY267" s="293">
        <f>IF(PUSCR&lt;'Look Ups'!$AC$4,MIN(150,('Look Ups'!$AC$4-PUSCR)/('Look Ups'!$AC$4-'Look Ups'!$AC$3)*100),0)</f>
        <v>0</v>
      </c>
      <c r="CZ267" s="275">
        <f>IF(PUSCR&lt;'Look Ups'!$AC$4,USCRF*(USCRL1+USCRL2)/4+(USCRMG-USCRF/2)*(USCRL1+USCRL2)/3,0)</f>
        <v>0</v>
      </c>
      <c r="DA267" s="294">
        <f t="shared" si="106"/>
        <v>1</v>
      </c>
      <c r="DB267" s="256">
        <f t="shared" si="107"/>
        <v>162.13431</v>
      </c>
      <c r="DC267" s="256">
        <f t="shared" si="108"/>
        <v>1</v>
      </c>
      <c r="DD267" s="256">
        <f t="shared" si="109"/>
        <v>73.822184000000007</v>
      </c>
      <c r="DE267" s="256">
        <f>IF(AZ267&gt;0,'Look Ups'!$S$3,0)</f>
        <v>1</v>
      </c>
      <c r="DF267" s="256">
        <f t="shared" si="110"/>
        <v>0</v>
      </c>
      <c r="DG267" s="256">
        <f t="shared" si="111"/>
        <v>0</v>
      </c>
      <c r="DH267" s="256">
        <f t="shared" si="112"/>
        <v>0</v>
      </c>
      <c r="DI267" s="280">
        <f t="shared" si="113"/>
        <v>0</v>
      </c>
      <c r="DJ267" s="295" t="str">
        <f t="shared" si="114"/>
        <v>valid</v>
      </c>
      <c r="DK267" s="266" t="str">
        <f t="shared" si="115"/>
        <v>-</v>
      </c>
      <c r="DL267" s="267" t="str">
        <f t="shared" si="116"/>
        <v>MGScr</v>
      </c>
      <c r="DM267" s="294">
        <f t="shared" si="117"/>
        <v>235.95649400000002</v>
      </c>
      <c r="DN267" s="256">
        <f>IF(MSASP&gt;0,'Look Ups'!$AI$4*(ZVAL*MSASP-RSAG),0)</f>
        <v>0</v>
      </c>
      <c r="DO267" s="256">
        <f>IF(AND(MSASC&gt;0,(MSASC&gt;=0.36*RSAM)),('Look Ups'!$AI$3*(ZVAL*MSASC-RSAG)),(0))</f>
        <v>45.161193933333323</v>
      </c>
      <c r="DP267" s="256">
        <f>IF(MSASP&gt;0,'Look Ups'!$AI$5*(ZVAL*MSASP-RSAG),0)</f>
        <v>0</v>
      </c>
      <c r="DQ267" s="256">
        <f>IF(MSASC&gt;0,'Look Ups'!$AI$6*(MSASC-RSAG),0)</f>
        <v>9.0322387866666656</v>
      </c>
      <c r="DR267" s="280">
        <f>'Look Ups'!$AI$7*MAX(IF(MSAUSC&gt;0,EUSC/100*(MSAUSC-RSAG),0),IF(CR267="Yes",ELSC/100*(MSASC-RSAG),0))</f>
        <v>0</v>
      </c>
      <c r="DS267" s="280">
        <f t="shared" si="118"/>
        <v>58.368351599999997</v>
      </c>
      <c r="DT267" s="296">
        <f t="shared" si="119"/>
        <v>281.11768793333334</v>
      </c>
      <c r="DU267" s="14"/>
    </row>
    <row r="268" spans="1:125" ht="15.6" customHeight="1" x14ac:dyDescent="0.3">
      <c r="A268" s="4"/>
      <c r="B268" s="365"/>
      <c r="C268" s="369" t="s">
        <v>906</v>
      </c>
      <c r="D268" s="370"/>
      <c r="E268" s="371" t="s">
        <v>905</v>
      </c>
      <c r="F268" s="252">
        <f t="shared" ca="1" si="90"/>
        <v>1.157</v>
      </c>
      <c r="G268" s="252" t="str">
        <f ca="1">IF(OR(FLSCR="ERROR",FLSPI="ERROR"),"No",IF(TODAY()-'Look Ups'!$D$4*365&gt;I268,"WP Applied","Yes"))</f>
        <v>WP Applied</v>
      </c>
      <c r="H268" s="253" t="str">
        <f t="shared" si="91"/>
        <v>Main-Genoa-Spinnaker</v>
      </c>
      <c r="I268" s="1">
        <v>38731</v>
      </c>
      <c r="J268" s="1">
        <v>39521</v>
      </c>
      <c r="K268" s="87" t="s">
        <v>676</v>
      </c>
      <c r="L268" s="87" t="s">
        <v>763</v>
      </c>
      <c r="M268" s="207"/>
      <c r="N268" s="88" t="s">
        <v>165</v>
      </c>
      <c r="O268" s="88"/>
      <c r="P268" s="89"/>
      <c r="Q268" s="90">
        <v>9.36</v>
      </c>
      <c r="R268" s="87"/>
      <c r="S268" s="256">
        <f t="shared" si="92"/>
        <v>0.23399999999999999</v>
      </c>
      <c r="T268" s="117">
        <v>0.28999999999999998</v>
      </c>
      <c r="U268" s="117">
        <v>0</v>
      </c>
      <c r="V268" s="258">
        <f t="shared" si="93"/>
        <v>9.07</v>
      </c>
      <c r="W268" s="259">
        <f>IF(RL&gt;0,IF(RL&gt;'Look Ups'!Y$7,'Look Ups'!Y$8,('Look Ups'!Y$3*RL^3+'Look Ups'!Y$4*RL^2+'Look Ups'!Y$5*RL+'Look Ups'!Y$6)),0)</f>
        <v>0.29681684721900004</v>
      </c>
      <c r="X268" s="92">
        <v>1100</v>
      </c>
      <c r="Y268" s="263">
        <f ca="1">IF(WDATE&lt;(TODAY()-'Look Ups'!$D$4*365),-WM*'Look Ups'!$D$5/100,0)</f>
        <v>-165</v>
      </c>
      <c r="Z268" s="103"/>
      <c r="AA268" s="109"/>
      <c r="AB268" s="109"/>
      <c r="AC268" s="265">
        <f>WCD+NC*'Look Ups'!$AF$3</f>
        <v>0</v>
      </c>
      <c r="AD268" s="265">
        <f ca="1">IF(RL&lt;'Look Ups'!AM$3,'Look Ups'!AM$4,IF(RL&gt;'Look Ups'!AM$5,'Look Ups'!AM$6,(RL-'Look Ups'!AM$3)/('Look Ups'!AM$5-'Look Ups'!AM$3)*('Look Ups'!AM$6-'Look Ups'!AM$4)+'Look Ups'!AM$4))/100*WS</f>
        <v>199.92</v>
      </c>
      <c r="AE268" s="269">
        <f t="shared" ca="1" si="94"/>
        <v>935</v>
      </c>
      <c r="AF268" s="267">
        <f t="shared" ca="1" si="95"/>
        <v>935</v>
      </c>
      <c r="AG268" s="94" t="s">
        <v>145</v>
      </c>
      <c r="AH268" s="95" t="s">
        <v>146</v>
      </c>
      <c r="AI268" s="96" t="s">
        <v>147</v>
      </c>
      <c r="AJ268" s="218"/>
      <c r="AK268" s="273">
        <f>IF(C268="",0,VLOOKUP(AG268,'Look Ups'!$F$3:$G$6,2,0)*VLOOKUP(AH268,'Look Ups'!$I$3:$J$5,2,0)*VLOOKUP(AI268,'Look Ups'!$L$3:$M$7,2,0)*IF(AJ268="",1,VLOOKUP(AJ268,'Look Ups'!$O$3:$P$4,2,0)))</f>
        <v>1</v>
      </c>
      <c r="AL268" s="83">
        <v>14.46</v>
      </c>
      <c r="AM268" s="91">
        <v>14.14</v>
      </c>
      <c r="AN268" s="91">
        <v>4.1449999999999996</v>
      </c>
      <c r="AO268" s="91">
        <v>1.79</v>
      </c>
      <c r="AP268" s="91">
        <v>0.4</v>
      </c>
      <c r="AQ268" s="91">
        <v>13.85</v>
      </c>
      <c r="AR268" s="91">
        <v>0.17</v>
      </c>
      <c r="AS268" s="91">
        <v>4.32</v>
      </c>
      <c r="AT268" s="91">
        <v>6.5000000000000002E-2</v>
      </c>
      <c r="AU268" s="91">
        <v>0.57000000000000006</v>
      </c>
      <c r="AV268" s="91" t="s">
        <v>148</v>
      </c>
      <c r="AW268" s="97" t="s">
        <v>907</v>
      </c>
      <c r="AX268" s="256">
        <f t="shared" si="96"/>
        <v>13.914999999999999</v>
      </c>
      <c r="AY268" s="256">
        <f t="shared" si="97"/>
        <v>2.9604375000000003</v>
      </c>
      <c r="AZ268" s="275">
        <f>IF(C268="",0,(0.5*(_ML1*LPM)+0.5*(_ML1*HB)+0.66*(P*PR)+0.66*(_ML2*RDM)+0.66*(E*ER))*VLOOKUP(BATT,'Look Ups'!$U$3:$V$4,2,0))</f>
        <v>48.382307999999995</v>
      </c>
      <c r="BA268" s="98"/>
      <c r="BB268" s="99"/>
      <c r="BC268" s="83">
        <v>11.12</v>
      </c>
      <c r="BD268" s="91">
        <v>3.05</v>
      </c>
      <c r="BE268" s="91">
        <v>3.22</v>
      </c>
      <c r="BF268" s="91">
        <v>7.0000000000000007E-2</v>
      </c>
      <c r="BG268" s="91">
        <v>10.55</v>
      </c>
      <c r="BH268" s="91"/>
      <c r="BI268" s="91"/>
      <c r="BJ268" s="91">
        <v>-0.105</v>
      </c>
      <c r="BK268" s="91">
        <v>0.13</v>
      </c>
      <c r="BL268" s="97">
        <v>0</v>
      </c>
      <c r="BM268" s="275">
        <f t="shared" si="98"/>
        <v>17.329744999999999</v>
      </c>
      <c r="BN268" s="319"/>
      <c r="BO268" s="320"/>
      <c r="BP268" s="321"/>
      <c r="BQ268" s="321"/>
      <c r="BR268" s="320"/>
      <c r="BS268" s="321"/>
      <c r="BT268" s="321"/>
      <c r="BU268" s="280">
        <f t="shared" si="99"/>
        <v>0</v>
      </c>
      <c r="BV268" s="322"/>
      <c r="BW268" s="320"/>
      <c r="BX268" s="320"/>
      <c r="BY268" s="320"/>
      <c r="BZ268" s="320"/>
      <c r="CA268" s="320"/>
      <c r="CB268" s="320"/>
      <c r="CC268" s="275">
        <f t="shared" si="100"/>
        <v>0</v>
      </c>
      <c r="CD268" s="98">
        <v>8.8699999999999992</v>
      </c>
      <c r="CE268" s="91">
        <v>13.98</v>
      </c>
      <c r="CF268" s="91">
        <v>12.56</v>
      </c>
      <c r="CG268" s="91">
        <v>6.7</v>
      </c>
      <c r="CH268" s="266">
        <f t="shared" si="101"/>
        <v>75.535512965050742</v>
      </c>
      <c r="CI268" s="320"/>
      <c r="CJ268" s="280">
        <f t="shared" si="102"/>
        <v>78.890149999999991</v>
      </c>
      <c r="CK268" s="83"/>
      <c r="CL268" s="91">
        <v>0</v>
      </c>
      <c r="CM268" s="91">
        <v>0</v>
      </c>
      <c r="CN268" s="91">
        <v>0</v>
      </c>
      <c r="CO268" s="256" t="str">
        <f t="shared" si="103"/>
        <v/>
      </c>
      <c r="CP268" s="320"/>
      <c r="CQ268" s="256">
        <f t="shared" si="104"/>
        <v>0</v>
      </c>
      <c r="CR268" s="256" t="str">
        <f>IF(CO268&lt;'Look Ups'!$AC$4,"Yes","No")</f>
        <v>No</v>
      </c>
      <c r="CS268" s="293">
        <f>IF(CR268="Yes",MIN(150,('Look Ups'!$AC$4-PSCR)/('Look Ups'!$AC$4-'Look Ups'!$AC$3)*100),0)</f>
        <v>0</v>
      </c>
      <c r="CT268" s="83"/>
      <c r="CU268" s="91"/>
      <c r="CV268" s="91"/>
      <c r="CW268" s="91"/>
      <c r="CX268" s="256" t="str">
        <f t="shared" si="105"/>
        <v/>
      </c>
      <c r="CY268" s="293">
        <f>IF(PUSCR&lt;'Look Ups'!$AC$4,MIN(150,('Look Ups'!$AC$4-PUSCR)/('Look Ups'!$AC$4-'Look Ups'!$AC$3)*100),0)</f>
        <v>0</v>
      </c>
      <c r="CZ268" s="275">
        <f>IF(PUSCR&lt;'Look Ups'!$AC$4,USCRF*(USCRL1+USCRL2)/4+(USCRMG-USCRF/2)*(USCRL1+USCRL2)/3,0)</f>
        <v>0</v>
      </c>
      <c r="DA268" s="294">
        <f t="shared" si="106"/>
        <v>1</v>
      </c>
      <c r="DB268" s="256">
        <f t="shared" si="107"/>
        <v>51.342745499999992</v>
      </c>
      <c r="DC268" s="256">
        <f t="shared" si="108"/>
        <v>1</v>
      </c>
      <c r="DD268" s="256">
        <f t="shared" si="109"/>
        <v>17.329744999999999</v>
      </c>
      <c r="DE268" s="256">
        <f>IF(AZ268&gt;0,'Look Ups'!$S$3,0)</f>
        <v>1</v>
      </c>
      <c r="DF268" s="256">
        <f t="shared" si="110"/>
        <v>0</v>
      </c>
      <c r="DG268" s="256">
        <f t="shared" si="111"/>
        <v>0</v>
      </c>
      <c r="DH268" s="256">
        <f t="shared" si="112"/>
        <v>0</v>
      </c>
      <c r="DI268" s="280">
        <f t="shared" si="113"/>
        <v>0</v>
      </c>
      <c r="DJ268" s="295" t="str">
        <f t="shared" si="114"/>
        <v>-</v>
      </c>
      <c r="DK268" s="266" t="str">
        <f t="shared" si="115"/>
        <v>valid</v>
      </c>
      <c r="DL268" s="267" t="str">
        <f t="shared" si="116"/>
        <v>MGSP</v>
      </c>
      <c r="DM268" s="294">
        <f t="shared" si="117"/>
        <v>68.672490499999995</v>
      </c>
      <c r="DN268" s="256">
        <f>IF(MSASP&gt;0,'Look Ups'!$AI$4*(ZVAL*MSASP-RSAG),0)</f>
        <v>18.468121499999995</v>
      </c>
      <c r="DO268" s="256">
        <f>IF(AND(MSASC&gt;0,(MSASC&gt;=0.36*RSAM)),('Look Ups'!$AI$3*(ZVAL*MSASC-RSAG)),(0))</f>
        <v>0</v>
      </c>
      <c r="DP268" s="256">
        <f>IF(MSASP&gt;0,'Look Ups'!$AI$5*(ZVAL*MSASP-RSAG),0)</f>
        <v>17.236913399999999</v>
      </c>
      <c r="DQ268" s="256">
        <f>IF(MSASC&gt;0,'Look Ups'!$AI$6*(MSASC-RSAG),0)</f>
        <v>0</v>
      </c>
      <c r="DR268" s="280">
        <f>'Look Ups'!$AI$7*MAX(IF(MSAUSC&gt;0,EUSC/100*(MSAUSC-RSAG),0),IF(CR268="Yes",ELSC/100*(MSASC-RSAG),0))</f>
        <v>0</v>
      </c>
      <c r="DS268" s="280">
        <f t="shared" si="118"/>
        <v>18.483388379999997</v>
      </c>
      <c r="DT268" s="296">
        <f t="shared" si="119"/>
        <v>87.14061199999999</v>
      </c>
      <c r="DU268" s="14"/>
    </row>
    <row r="269" spans="1:125" ht="15.6" customHeight="1" x14ac:dyDescent="0.3">
      <c r="A269" s="4"/>
      <c r="B269" s="365"/>
      <c r="C269" s="369" t="s">
        <v>908</v>
      </c>
      <c r="D269" s="370" t="s">
        <v>194</v>
      </c>
      <c r="E269" s="371" t="s">
        <v>444</v>
      </c>
      <c r="F269" s="252">
        <f t="shared" ca="1" si="90"/>
        <v>0.90400000000000003</v>
      </c>
      <c r="G269" s="252" t="str">
        <f ca="1">IF(OR(FLSCR="ERROR",FLSPI="ERROR"),"No",IF(TODAY()-'Look Ups'!$D$4*365&gt;I269,"WP Applied","Yes"))</f>
        <v>WP Applied</v>
      </c>
      <c r="H269" s="253" t="str">
        <f t="shared" si="91"/>
        <v>Main-Genoa-Spinnaker</v>
      </c>
      <c r="I269" s="1">
        <v>39751</v>
      </c>
      <c r="J269" s="1">
        <v>39906</v>
      </c>
      <c r="K269" s="87" t="s">
        <v>909</v>
      </c>
      <c r="L269" s="87" t="s">
        <v>241</v>
      </c>
      <c r="M269" s="207"/>
      <c r="N269" s="88" t="s">
        <v>271</v>
      </c>
      <c r="O269" s="88"/>
      <c r="P269" s="89"/>
      <c r="Q269" s="90">
        <v>7.32</v>
      </c>
      <c r="R269" s="87"/>
      <c r="S269" s="256">
        <f t="shared" si="92"/>
        <v>0.18300000000000002</v>
      </c>
      <c r="T269" s="117">
        <v>0.14000000000000001</v>
      </c>
      <c r="U269" s="117"/>
      <c r="V269" s="258">
        <f t="shared" si="93"/>
        <v>7.1800000000000006</v>
      </c>
      <c r="W269" s="259">
        <f>IF(RL&gt;0,IF(RL&gt;'Look Ups'!Y$7,'Look Ups'!Y$8,('Look Ups'!Y$3*RL^3+'Look Ups'!Y$4*RL^2+'Look Ups'!Y$5*RL+'Look Ups'!Y$6)),0)</f>
        <v>0.29055146565600004</v>
      </c>
      <c r="X269" s="92">
        <v>960</v>
      </c>
      <c r="Y269" s="263">
        <f ca="1">IF(WDATE&lt;(TODAY()-'Look Ups'!$D$4*365),-WM*'Look Ups'!$D$5/100,0)</f>
        <v>-144</v>
      </c>
      <c r="Z269" s="103"/>
      <c r="AA269" s="109"/>
      <c r="AB269" s="109"/>
      <c r="AC269" s="265">
        <f>WCD+NC*'Look Ups'!$AF$3</f>
        <v>0</v>
      </c>
      <c r="AD269" s="265">
        <f ca="1">IF(RL&lt;'Look Ups'!AM$3,'Look Ups'!AM$4,IF(RL&gt;'Look Ups'!AM$5,'Look Ups'!AM$6,(RL-'Look Ups'!AM$3)/('Look Ups'!AM$5-'Look Ups'!AM$3)*('Look Ups'!AM$6-'Look Ups'!AM$4)+'Look Ups'!AM$4))/100*WS</f>
        <v>230.5570909090909</v>
      </c>
      <c r="AE269" s="269">
        <f t="shared" ca="1" si="94"/>
        <v>816</v>
      </c>
      <c r="AF269" s="267">
        <f t="shared" ca="1" si="95"/>
        <v>816</v>
      </c>
      <c r="AG269" s="94" t="s">
        <v>145</v>
      </c>
      <c r="AH269" s="95" t="s">
        <v>146</v>
      </c>
      <c r="AI269" s="96" t="s">
        <v>147</v>
      </c>
      <c r="AJ269" s="218"/>
      <c r="AK269" s="273">
        <f>IF(C269="",0,VLOOKUP(AG269,'Look Ups'!$F$3:$G$6,2,0)*VLOOKUP(AH269,'Look Ups'!$I$3:$J$5,2,0)*VLOOKUP(AI269,'Look Ups'!$L$3:$M$7,2,0)*IF(AJ269="",1,VLOOKUP(AJ269,'Look Ups'!$O$3:$P$4,2,0)))</f>
        <v>1</v>
      </c>
      <c r="AL269" s="83">
        <v>10.14</v>
      </c>
      <c r="AM269" s="91">
        <v>9.9</v>
      </c>
      <c r="AN269" s="91">
        <v>3.12</v>
      </c>
      <c r="AO269" s="91">
        <v>0.7</v>
      </c>
      <c r="AP269" s="91">
        <v>0.69</v>
      </c>
      <c r="AQ269" s="91">
        <v>9.7799999999999994</v>
      </c>
      <c r="AR269" s="91">
        <v>0.1</v>
      </c>
      <c r="AS269" s="91">
        <v>3.26</v>
      </c>
      <c r="AT269" s="91">
        <v>0</v>
      </c>
      <c r="AU269" s="91">
        <v>0.49</v>
      </c>
      <c r="AV269" s="91" t="s">
        <v>148</v>
      </c>
      <c r="AW269" s="97"/>
      <c r="AX269" s="256">
        <f t="shared" si="96"/>
        <v>9.7799999999999994</v>
      </c>
      <c r="AY269" s="256">
        <f t="shared" si="97"/>
        <v>1.7970749999999998</v>
      </c>
      <c r="AZ269" s="275">
        <f>IF(C269="",0,(0.5*(_ML1*LPM)+0.5*(_ML1*HB)+0.66*(P*PR)+0.66*(_ML2*RDM)+0.66*(E*ER))*VLOOKUP(BATT,'Look Ups'!$U$3:$V$4,2,0))</f>
        <v>24.521340000000002</v>
      </c>
      <c r="BA269" s="98"/>
      <c r="BB269" s="99"/>
      <c r="BC269" s="83">
        <v>8.8699999999999992</v>
      </c>
      <c r="BD269" s="91">
        <v>2.5499999999999998</v>
      </c>
      <c r="BE269" s="91">
        <v>2.89</v>
      </c>
      <c r="BF269" s="91">
        <v>0.13</v>
      </c>
      <c r="BG269" s="91">
        <v>7.97</v>
      </c>
      <c r="BH269" s="91"/>
      <c r="BI269" s="91"/>
      <c r="BJ269" s="91">
        <v>0.30000000000000004</v>
      </c>
      <c r="BK269" s="91">
        <v>0</v>
      </c>
      <c r="BL269" s="97"/>
      <c r="BM269" s="275">
        <f t="shared" si="98"/>
        <v>13.135271999999999</v>
      </c>
      <c r="BN269" s="319"/>
      <c r="BO269" s="320"/>
      <c r="BP269" s="321"/>
      <c r="BQ269" s="321"/>
      <c r="BR269" s="320"/>
      <c r="BS269" s="321"/>
      <c r="BT269" s="321"/>
      <c r="BU269" s="280">
        <f t="shared" si="99"/>
        <v>0</v>
      </c>
      <c r="BV269" s="322"/>
      <c r="BW269" s="320"/>
      <c r="BX269" s="320"/>
      <c r="BY269" s="320"/>
      <c r="BZ269" s="320"/>
      <c r="CA269" s="320"/>
      <c r="CB269" s="320"/>
      <c r="CC269" s="275">
        <f t="shared" si="100"/>
        <v>0</v>
      </c>
      <c r="CD269" s="98">
        <v>6.94</v>
      </c>
      <c r="CE269" s="91">
        <v>11.6</v>
      </c>
      <c r="CF269" s="91">
        <v>10.119999999999999</v>
      </c>
      <c r="CG269" s="91">
        <v>5.7</v>
      </c>
      <c r="CH269" s="266">
        <f t="shared" si="101"/>
        <v>82.132564841498549</v>
      </c>
      <c r="CI269" s="320"/>
      <c r="CJ269" s="280">
        <f t="shared" si="102"/>
        <v>53.829399999999993</v>
      </c>
      <c r="CK269" s="83"/>
      <c r="CL269" s="91"/>
      <c r="CM269" s="91"/>
      <c r="CN269" s="91"/>
      <c r="CO269" s="256" t="str">
        <f t="shared" si="103"/>
        <v/>
      </c>
      <c r="CP269" s="320"/>
      <c r="CQ269" s="256">
        <f t="shared" si="104"/>
        <v>0</v>
      </c>
      <c r="CR269" s="256" t="str">
        <f>IF(CO269&lt;'Look Ups'!$AC$4,"Yes","No")</f>
        <v>No</v>
      </c>
      <c r="CS269" s="293">
        <f>IF(CR269="Yes",MIN(150,('Look Ups'!$AC$4-PSCR)/('Look Ups'!$AC$4-'Look Ups'!$AC$3)*100),0)</f>
        <v>0</v>
      </c>
      <c r="CT269" s="83"/>
      <c r="CU269" s="91"/>
      <c r="CV269" s="91"/>
      <c r="CW269" s="91"/>
      <c r="CX269" s="256" t="str">
        <f t="shared" si="105"/>
        <v/>
      </c>
      <c r="CY269" s="293">
        <f>IF(PUSCR&lt;'Look Ups'!$AC$4,MIN(150,('Look Ups'!$AC$4-PUSCR)/('Look Ups'!$AC$4-'Look Ups'!$AC$3)*100),0)</f>
        <v>0</v>
      </c>
      <c r="CZ269" s="275">
        <f>IF(PUSCR&lt;'Look Ups'!$AC$4,USCRF*(USCRL1+USCRL2)/4+(USCRMG-USCRF/2)*(USCRL1+USCRL2)/3,0)</f>
        <v>0</v>
      </c>
      <c r="DA269" s="294">
        <f t="shared" si="106"/>
        <v>1</v>
      </c>
      <c r="DB269" s="256">
        <f t="shared" si="107"/>
        <v>26.318415000000002</v>
      </c>
      <c r="DC269" s="256">
        <f t="shared" si="108"/>
        <v>1</v>
      </c>
      <c r="DD269" s="256">
        <f t="shared" si="109"/>
        <v>13.135271999999999</v>
      </c>
      <c r="DE269" s="256">
        <f>IF(AZ269&gt;0,'Look Ups'!$S$3,0)</f>
        <v>1</v>
      </c>
      <c r="DF269" s="256">
        <f t="shared" si="110"/>
        <v>0</v>
      </c>
      <c r="DG269" s="256">
        <f t="shared" si="111"/>
        <v>0</v>
      </c>
      <c r="DH269" s="256">
        <f t="shared" si="112"/>
        <v>0</v>
      </c>
      <c r="DI269" s="280">
        <f t="shared" si="113"/>
        <v>0</v>
      </c>
      <c r="DJ269" s="295" t="str">
        <f t="shared" si="114"/>
        <v>-</v>
      </c>
      <c r="DK269" s="266" t="str">
        <f t="shared" si="115"/>
        <v>valid</v>
      </c>
      <c r="DL269" s="267" t="str">
        <f t="shared" si="116"/>
        <v>MGSP</v>
      </c>
      <c r="DM269" s="294">
        <f t="shared" si="117"/>
        <v>39.453687000000002</v>
      </c>
      <c r="DN269" s="256">
        <f>IF(MSASP&gt;0,'Look Ups'!$AI$4*(ZVAL*MSASP-RSAG),0)</f>
        <v>12.208238399999997</v>
      </c>
      <c r="DO269" s="256">
        <f>IF(AND(MSASC&gt;0,(MSASC&gt;=0.36*RSAM)),('Look Ups'!$AI$3*(ZVAL*MSASC-RSAG)),(0))</f>
        <v>0</v>
      </c>
      <c r="DP269" s="256">
        <f>IF(MSASP&gt;0,'Look Ups'!$AI$5*(ZVAL*MSASP-RSAG),0)</f>
        <v>11.394355839999999</v>
      </c>
      <c r="DQ269" s="256">
        <f>IF(MSASC&gt;0,'Look Ups'!$AI$6*(MSASC-RSAG),0)</f>
        <v>0</v>
      </c>
      <c r="DR269" s="280">
        <f>'Look Ups'!$AI$7*MAX(IF(MSAUSC&gt;0,EUSC/100*(MSAUSC-RSAG),0),IF(CR269="Yes",ELSC/100*(MSASC-RSAG),0))</f>
        <v>0</v>
      </c>
      <c r="DS269" s="280">
        <f t="shared" si="118"/>
        <v>9.4746293999999995</v>
      </c>
      <c r="DT269" s="296">
        <f t="shared" si="119"/>
        <v>51.661925400000001</v>
      </c>
      <c r="DU269" s="14"/>
    </row>
    <row r="270" spans="1:125" ht="15.6" customHeight="1" x14ac:dyDescent="0.3">
      <c r="A270" s="4"/>
      <c r="B270" s="365"/>
      <c r="C270" s="369" t="s">
        <v>910</v>
      </c>
      <c r="D270" s="370" t="s">
        <v>194</v>
      </c>
      <c r="E270" s="371" t="s">
        <v>911</v>
      </c>
      <c r="F270" s="252">
        <f t="shared" ca="1" si="90"/>
        <v>0.91600000000000004</v>
      </c>
      <c r="G270" s="252" t="str">
        <f ca="1">IF(OR(FLSCR="ERROR",FLSPI="ERROR"),"No",IF(TODAY()-'Look Ups'!$D$4*365&gt;I270,"WP Applied","Yes"))</f>
        <v>WP Applied</v>
      </c>
      <c r="H270" s="253" t="str">
        <f t="shared" si="91"/>
        <v>Main-Genoa-Spinnaker</v>
      </c>
      <c r="I270" s="1">
        <v>38631</v>
      </c>
      <c r="J270" s="1">
        <v>39346</v>
      </c>
      <c r="K270" s="87" t="s">
        <v>715</v>
      </c>
      <c r="L270" s="87" t="s">
        <v>641</v>
      </c>
      <c r="M270" s="207"/>
      <c r="N270" s="88" t="s">
        <v>143</v>
      </c>
      <c r="O270" s="88" t="s">
        <v>154</v>
      </c>
      <c r="P270" s="89"/>
      <c r="Q270" s="90">
        <v>7.34</v>
      </c>
      <c r="R270" s="87"/>
      <c r="S270" s="256">
        <f t="shared" si="92"/>
        <v>0.1835</v>
      </c>
      <c r="T270" s="117">
        <v>0.15</v>
      </c>
      <c r="U270" s="117">
        <v>0</v>
      </c>
      <c r="V270" s="258">
        <f t="shared" si="93"/>
        <v>7.1899999999999995</v>
      </c>
      <c r="W270" s="259">
        <f>IF(RL&gt;0,IF(RL&gt;'Look Ups'!Y$7,'Look Ups'!Y$8,('Look Ups'!Y$3*RL^3+'Look Ups'!Y$4*RL^2+'Look Ups'!Y$5*RL+'Look Ups'!Y$6)),0)</f>
        <v>0.29059639364700002</v>
      </c>
      <c r="X270" s="92">
        <v>950</v>
      </c>
      <c r="Y270" s="263">
        <f ca="1">IF(WDATE&lt;(TODAY()-'Look Ups'!$D$4*365),-WM*'Look Ups'!$D$5/100,0)</f>
        <v>-142.5</v>
      </c>
      <c r="Z270" s="103"/>
      <c r="AA270" s="109"/>
      <c r="AB270" s="109"/>
      <c r="AC270" s="265">
        <f>WCD+NC*'Look Ups'!$AF$3</f>
        <v>0</v>
      </c>
      <c r="AD270" s="265">
        <f ca="1">IF(RL&lt;'Look Ups'!AM$3,'Look Ups'!AM$4,IF(RL&gt;'Look Ups'!AM$5,'Look Ups'!AM$6,(RL-'Look Ups'!AM$3)/('Look Ups'!AM$5-'Look Ups'!AM$3)*('Look Ups'!AM$6-'Look Ups'!AM$4)+'Look Ups'!AM$4))/100*WS</f>
        <v>227.86181818181819</v>
      </c>
      <c r="AE270" s="269">
        <f t="shared" ca="1" si="94"/>
        <v>807.5</v>
      </c>
      <c r="AF270" s="267">
        <f t="shared" ca="1" si="95"/>
        <v>807.5</v>
      </c>
      <c r="AG270" s="94" t="s">
        <v>145</v>
      </c>
      <c r="AH270" s="95" t="s">
        <v>146</v>
      </c>
      <c r="AI270" s="96" t="s">
        <v>147</v>
      </c>
      <c r="AJ270" s="218"/>
      <c r="AK270" s="273">
        <f>IF(C270="",0,VLOOKUP(AG270,'Look Ups'!$F$3:$G$6,2,0)*VLOOKUP(AH270,'Look Ups'!$I$3:$J$5,2,0)*VLOOKUP(AI270,'Look Ups'!$L$3:$M$7,2,0)*IF(AJ270="",1,VLOOKUP(AJ270,'Look Ups'!$O$3:$P$4,2,0)))</f>
        <v>1</v>
      </c>
      <c r="AL270" s="83">
        <v>10.24</v>
      </c>
      <c r="AM270" s="91">
        <v>10.02</v>
      </c>
      <c r="AN270" s="91">
        <v>3.05</v>
      </c>
      <c r="AO270" s="91">
        <v>0.73</v>
      </c>
      <c r="AP270" s="91">
        <v>0.75</v>
      </c>
      <c r="AQ270" s="91">
        <v>9.7899999999999991</v>
      </c>
      <c r="AR270" s="91">
        <v>0.09</v>
      </c>
      <c r="AS270" s="91">
        <v>3.22</v>
      </c>
      <c r="AT270" s="91">
        <v>0.05</v>
      </c>
      <c r="AU270" s="91">
        <v>0.5</v>
      </c>
      <c r="AV270" s="91" t="s">
        <v>148</v>
      </c>
      <c r="AW270" s="97">
        <v>0</v>
      </c>
      <c r="AX270" s="256">
        <f t="shared" si="96"/>
        <v>9.84</v>
      </c>
      <c r="AY270" s="256">
        <f t="shared" si="97"/>
        <v>1.8356249999999998</v>
      </c>
      <c r="AZ270" s="275">
        <f>IF(C270="",0,(0.5*(_ML1*LPM)+0.5*(_ML1*HB)+0.66*(P*PR)+0.66*(_ML2*RDM)+0.66*(E*ER))*VLOOKUP(BATT,'Look Ups'!$U$3:$V$4,2,0))</f>
        <v>25.001286</v>
      </c>
      <c r="BA270" s="98"/>
      <c r="BB270" s="99"/>
      <c r="BC270" s="83">
        <v>8.9700000000000006</v>
      </c>
      <c r="BD270" s="91">
        <v>2.56</v>
      </c>
      <c r="BE270" s="91">
        <v>2.9</v>
      </c>
      <c r="BF270" s="91">
        <v>7.0000000000000007E-2</v>
      </c>
      <c r="BG270" s="91">
        <v>8.02</v>
      </c>
      <c r="BH270" s="91"/>
      <c r="BI270" s="91"/>
      <c r="BJ270" s="91">
        <v>0.28000000000000003</v>
      </c>
      <c r="BK270" s="91">
        <v>0.01</v>
      </c>
      <c r="BL270" s="97">
        <v>0</v>
      </c>
      <c r="BM270" s="275">
        <f t="shared" si="98"/>
        <v>13.156878000000001</v>
      </c>
      <c r="BN270" s="319"/>
      <c r="BO270" s="320"/>
      <c r="BP270" s="321"/>
      <c r="BQ270" s="321"/>
      <c r="BR270" s="320"/>
      <c r="BS270" s="321"/>
      <c r="BT270" s="321"/>
      <c r="BU270" s="280">
        <f t="shared" si="99"/>
        <v>0</v>
      </c>
      <c r="BV270" s="322"/>
      <c r="BW270" s="320"/>
      <c r="BX270" s="320"/>
      <c r="BY270" s="320"/>
      <c r="BZ270" s="320"/>
      <c r="CA270" s="320"/>
      <c r="CB270" s="320"/>
      <c r="CC270" s="275">
        <f t="shared" si="100"/>
        <v>0</v>
      </c>
      <c r="CD270" s="98">
        <v>6.95</v>
      </c>
      <c r="CE270" s="91">
        <v>11.8</v>
      </c>
      <c r="CF270" s="91">
        <v>10.7</v>
      </c>
      <c r="CG270" s="91">
        <v>5.71</v>
      </c>
      <c r="CH270" s="266">
        <f t="shared" si="101"/>
        <v>82.158273381294961</v>
      </c>
      <c r="CI270" s="320"/>
      <c r="CJ270" s="280">
        <f t="shared" si="102"/>
        <v>55.856250000000003</v>
      </c>
      <c r="CK270" s="83"/>
      <c r="CL270" s="91"/>
      <c r="CM270" s="91"/>
      <c r="CN270" s="91"/>
      <c r="CO270" s="256" t="str">
        <f t="shared" si="103"/>
        <v/>
      </c>
      <c r="CP270" s="320"/>
      <c r="CQ270" s="256">
        <f t="shared" si="104"/>
        <v>0</v>
      </c>
      <c r="CR270" s="256" t="str">
        <f>IF(CO270&lt;'Look Ups'!$AC$4,"Yes","No")</f>
        <v>No</v>
      </c>
      <c r="CS270" s="293">
        <f>IF(CR270="Yes",MIN(150,('Look Ups'!$AC$4-PSCR)/('Look Ups'!$AC$4-'Look Ups'!$AC$3)*100),0)</f>
        <v>0</v>
      </c>
      <c r="CT270" s="83"/>
      <c r="CU270" s="91"/>
      <c r="CV270" s="91"/>
      <c r="CW270" s="91"/>
      <c r="CX270" s="256" t="str">
        <f t="shared" si="105"/>
        <v/>
      </c>
      <c r="CY270" s="293">
        <f>IF(PUSCR&lt;'Look Ups'!$AC$4,MIN(150,('Look Ups'!$AC$4-PUSCR)/('Look Ups'!$AC$4-'Look Ups'!$AC$3)*100),0)</f>
        <v>0</v>
      </c>
      <c r="CZ270" s="275">
        <f>IF(PUSCR&lt;'Look Ups'!$AC$4,USCRF*(USCRL1+USCRL2)/4+(USCRMG-USCRF/2)*(USCRL1+USCRL2)/3,0)</f>
        <v>0</v>
      </c>
      <c r="DA270" s="294">
        <f t="shared" si="106"/>
        <v>1</v>
      </c>
      <c r="DB270" s="256">
        <f t="shared" si="107"/>
        <v>26.836911000000001</v>
      </c>
      <c r="DC270" s="256">
        <f t="shared" si="108"/>
        <v>1</v>
      </c>
      <c r="DD270" s="256">
        <f t="shared" si="109"/>
        <v>13.156878000000001</v>
      </c>
      <c r="DE270" s="256">
        <f>IF(AZ270&gt;0,'Look Ups'!$S$3,0)</f>
        <v>1</v>
      </c>
      <c r="DF270" s="256">
        <f t="shared" si="110"/>
        <v>0</v>
      </c>
      <c r="DG270" s="256">
        <f t="shared" si="111"/>
        <v>0</v>
      </c>
      <c r="DH270" s="256">
        <f t="shared" si="112"/>
        <v>0</v>
      </c>
      <c r="DI270" s="280">
        <f t="shared" si="113"/>
        <v>0</v>
      </c>
      <c r="DJ270" s="295" t="str">
        <f t="shared" si="114"/>
        <v>-</v>
      </c>
      <c r="DK270" s="266" t="str">
        <f t="shared" si="115"/>
        <v>valid</v>
      </c>
      <c r="DL270" s="267" t="str">
        <f t="shared" si="116"/>
        <v>MGSP</v>
      </c>
      <c r="DM270" s="294">
        <f t="shared" si="117"/>
        <v>39.993789</v>
      </c>
      <c r="DN270" s="256">
        <f>IF(MSASP&gt;0,'Look Ups'!$AI$4*(ZVAL*MSASP-RSAG),0)</f>
        <v>12.809811600000002</v>
      </c>
      <c r="DO270" s="256">
        <f>IF(AND(MSASC&gt;0,(MSASC&gt;=0.36*RSAM)),('Look Ups'!$AI$3*(ZVAL*MSASC-RSAG)),(0))</f>
        <v>0</v>
      </c>
      <c r="DP270" s="256">
        <f>IF(MSASP&gt;0,'Look Ups'!$AI$5*(ZVAL*MSASP-RSAG),0)</f>
        <v>11.955824160000002</v>
      </c>
      <c r="DQ270" s="256">
        <f>IF(MSASC&gt;0,'Look Ups'!$AI$6*(MSASC-RSAG),0)</f>
        <v>0</v>
      </c>
      <c r="DR270" s="280">
        <f>'Look Ups'!$AI$7*MAX(IF(MSAUSC&gt;0,EUSC/100*(MSAUSC-RSAG),0),IF(CR270="Yes",ELSC/100*(MSASC-RSAG),0))</f>
        <v>0</v>
      </c>
      <c r="DS270" s="280">
        <f t="shared" si="118"/>
        <v>9.6612879599999992</v>
      </c>
      <c r="DT270" s="296">
        <f t="shared" si="119"/>
        <v>52.803600600000003</v>
      </c>
      <c r="DU270" s="14"/>
    </row>
    <row r="271" spans="1:125" ht="15.6" customHeight="1" x14ac:dyDescent="0.3">
      <c r="A271" s="4"/>
      <c r="B271" s="365"/>
      <c r="C271" s="369" t="s">
        <v>912</v>
      </c>
      <c r="D271" s="370" t="s">
        <v>913</v>
      </c>
      <c r="E271" s="371" t="s">
        <v>914</v>
      </c>
      <c r="F271" s="252">
        <f t="shared" ca="1" si="90"/>
        <v>0.88500000000000001</v>
      </c>
      <c r="G271" s="252" t="str">
        <f ca="1">IF(OR(FLSCR="ERROR",FLSPI="ERROR"),"No",IF(TODAY()-'Look Ups'!$D$4*365&gt;I271,"WP Applied","Yes"))</f>
        <v>WP Applied</v>
      </c>
      <c r="H271" s="253" t="str">
        <f t="shared" si="91"/>
        <v>Main-Genoa-Spinnaker</v>
      </c>
      <c r="I271" s="1">
        <v>36192</v>
      </c>
      <c r="J271" s="1"/>
      <c r="K271" s="87" t="s">
        <v>176</v>
      </c>
      <c r="L271" s="87" t="s">
        <v>589</v>
      </c>
      <c r="M271" s="207"/>
      <c r="N271" s="88" t="s">
        <v>165</v>
      </c>
      <c r="O271" s="88"/>
      <c r="P271" s="89">
        <v>8.1</v>
      </c>
      <c r="Q271" s="90">
        <v>12.93</v>
      </c>
      <c r="R271" s="87"/>
      <c r="S271" s="256">
        <f t="shared" si="92"/>
        <v>0.32325000000000004</v>
      </c>
      <c r="T271" s="117">
        <v>0</v>
      </c>
      <c r="U271" s="117">
        <v>0</v>
      </c>
      <c r="V271" s="258">
        <f t="shared" si="93"/>
        <v>12.93</v>
      </c>
      <c r="W271" s="259">
        <f>IF(RL&gt;0,IF(RL&gt;'Look Ups'!Y$7,'Look Ups'!Y$8,('Look Ups'!Y$3*RL^3+'Look Ups'!Y$4*RL^2+'Look Ups'!Y$5*RL+'Look Ups'!Y$6)),0)</f>
        <v>0.3</v>
      </c>
      <c r="X271" s="92">
        <v>7046</v>
      </c>
      <c r="Y271" s="263">
        <f ca="1">IF(WDATE&lt;(TODAY()-'Look Ups'!$D$4*365),-WM*'Look Ups'!$D$5/100,0)</f>
        <v>-1056.9000000000001</v>
      </c>
      <c r="Z271" s="103"/>
      <c r="AA271" s="109"/>
      <c r="AB271" s="109"/>
      <c r="AC271" s="265">
        <f>WCD+NC*'Look Ups'!$AF$3</f>
        <v>0</v>
      </c>
      <c r="AD271" s="265">
        <f ca="1">IF(RL&lt;'Look Ups'!AM$3,'Look Ups'!AM$4,IF(RL&gt;'Look Ups'!AM$5,'Look Ups'!AM$6,(RL-'Look Ups'!AM$3)/('Look Ups'!AM$5-'Look Ups'!AM$3)*('Look Ups'!AM$6-'Look Ups'!AM$4)+'Look Ups'!AM$4))/100*WS</f>
        <v>598.91000000000008</v>
      </c>
      <c r="AE271" s="269">
        <f t="shared" ca="1" si="94"/>
        <v>5989.1</v>
      </c>
      <c r="AF271" s="267">
        <f t="shared" ca="1" si="95"/>
        <v>5989.1</v>
      </c>
      <c r="AG271" s="94" t="s">
        <v>145</v>
      </c>
      <c r="AH271" s="95" t="s">
        <v>146</v>
      </c>
      <c r="AI271" s="96" t="s">
        <v>177</v>
      </c>
      <c r="AJ271" s="218"/>
      <c r="AK271" s="273">
        <f>IF(C271="",0,VLOOKUP(AG271,'Look Ups'!$F$3:$G$6,2,0)*VLOOKUP(AH271,'Look Ups'!$I$3:$J$5,2,0)*VLOOKUP(AI271,'Look Ups'!$L$3:$M$7,2,0)*IF(AJ271="",1,VLOOKUP(AJ271,'Look Ups'!$O$3:$P$4,2,0)))</f>
        <v>0.99</v>
      </c>
      <c r="AL271" s="83">
        <v>17.899999999999999</v>
      </c>
      <c r="AM271" s="91">
        <v>17.8</v>
      </c>
      <c r="AN271" s="91">
        <v>5.68</v>
      </c>
      <c r="AO271" s="91">
        <v>0.23</v>
      </c>
      <c r="AP271" s="91">
        <v>1.84</v>
      </c>
      <c r="AQ271" s="91">
        <v>17.3</v>
      </c>
      <c r="AR271" s="91">
        <v>0.14000000000000001</v>
      </c>
      <c r="AS271" s="91">
        <v>5.83</v>
      </c>
      <c r="AT271" s="91">
        <v>0.05</v>
      </c>
      <c r="AU271" s="91"/>
      <c r="AV271" s="91" t="s">
        <v>148</v>
      </c>
      <c r="AW271" s="97">
        <v>0</v>
      </c>
      <c r="AX271" s="256">
        <f t="shared" si="96"/>
        <v>17.350000000000001</v>
      </c>
      <c r="AY271" s="256">
        <f t="shared" si="97"/>
        <v>0</v>
      </c>
      <c r="AZ271" s="275">
        <f>IF(C271="",0,(0.5*(_ML1*LPM)+0.5*(_ML1*HB)+0.66*(P*PR)+0.66*(_ML2*RDM)+0.66*(E*ER))*VLOOKUP(BATT,'Look Ups'!$U$3:$V$4,2,0))</f>
        <v>76.301730000000006</v>
      </c>
      <c r="BA271" s="98"/>
      <c r="BB271" s="99"/>
      <c r="BC271" s="83">
        <v>15.4</v>
      </c>
      <c r="BD271" s="91">
        <v>6.1310000000000002</v>
      </c>
      <c r="BE271" s="91">
        <v>6.6</v>
      </c>
      <c r="BF271" s="91">
        <v>0.114</v>
      </c>
      <c r="BG271" s="91">
        <v>14.4</v>
      </c>
      <c r="BH271" s="91"/>
      <c r="BI271" s="91"/>
      <c r="BJ271" s="91">
        <v>-0.53</v>
      </c>
      <c r="BK271" s="91">
        <v>-0.18</v>
      </c>
      <c r="BL271" s="97"/>
      <c r="BM271" s="275">
        <f t="shared" si="98"/>
        <v>40.838643999999995</v>
      </c>
      <c r="BN271" s="319"/>
      <c r="BO271" s="320"/>
      <c r="BP271" s="321"/>
      <c r="BQ271" s="321"/>
      <c r="BR271" s="320"/>
      <c r="BS271" s="321"/>
      <c r="BT271" s="321"/>
      <c r="BU271" s="280">
        <f t="shared" si="99"/>
        <v>0</v>
      </c>
      <c r="BV271" s="322"/>
      <c r="BW271" s="320"/>
      <c r="BX271" s="320"/>
      <c r="BY271" s="320"/>
      <c r="BZ271" s="320"/>
      <c r="CA271" s="320"/>
      <c r="CB271" s="320"/>
      <c r="CC271" s="275">
        <f t="shared" si="100"/>
        <v>0</v>
      </c>
      <c r="CD271" s="98">
        <v>9.5</v>
      </c>
      <c r="CE271" s="91">
        <v>21.5</v>
      </c>
      <c r="CF271" s="91">
        <v>19.5</v>
      </c>
      <c r="CG271" s="91">
        <v>10.07</v>
      </c>
      <c r="CH271" s="266">
        <f t="shared" si="101"/>
        <v>106</v>
      </c>
      <c r="CI271" s="320"/>
      <c r="CJ271" s="280">
        <f t="shared" si="102"/>
        <v>170.08166666666665</v>
      </c>
      <c r="CK271" s="83"/>
      <c r="CL271" s="91"/>
      <c r="CM271" s="91"/>
      <c r="CN271" s="91"/>
      <c r="CO271" s="256" t="str">
        <f t="shared" si="103"/>
        <v/>
      </c>
      <c r="CP271" s="320"/>
      <c r="CQ271" s="256">
        <f t="shared" si="104"/>
        <v>0</v>
      </c>
      <c r="CR271" s="256" t="str">
        <f>IF(CO271&lt;'Look Ups'!$AC$4,"Yes","No")</f>
        <v>No</v>
      </c>
      <c r="CS271" s="293">
        <f>IF(CR271="Yes",MIN(150,('Look Ups'!$AC$4-PSCR)/('Look Ups'!$AC$4-'Look Ups'!$AC$3)*100),0)</f>
        <v>0</v>
      </c>
      <c r="CT271" s="83"/>
      <c r="CU271" s="91"/>
      <c r="CV271" s="91"/>
      <c r="CW271" s="91"/>
      <c r="CX271" s="256" t="str">
        <f t="shared" si="105"/>
        <v/>
      </c>
      <c r="CY271" s="293">
        <f>IF(PUSCR&lt;'Look Ups'!$AC$4,MIN(150,('Look Ups'!$AC$4-PUSCR)/('Look Ups'!$AC$4-'Look Ups'!$AC$3)*100),0)</f>
        <v>0</v>
      </c>
      <c r="CZ271" s="275">
        <f>IF(PUSCR&lt;'Look Ups'!$AC$4,USCRF*(USCRL1+USCRL2)/4+(USCRMG-USCRF/2)*(USCRL1+USCRL2)/3,0)</f>
        <v>0</v>
      </c>
      <c r="DA271" s="294">
        <f t="shared" si="106"/>
        <v>1</v>
      </c>
      <c r="DB271" s="256">
        <f t="shared" si="107"/>
        <v>76.301730000000006</v>
      </c>
      <c r="DC271" s="256">
        <f t="shared" si="108"/>
        <v>1</v>
      </c>
      <c r="DD271" s="256">
        <f t="shared" si="109"/>
        <v>40.838643999999995</v>
      </c>
      <c r="DE271" s="256">
        <f>IF(AZ271&gt;0,'Look Ups'!$S$3,0)</f>
        <v>1</v>
      </c>
      <c r="DF271" s="256">
        <f t="shared" si="110"/>
        <v>0</v>
      </c>
      <c r="DG271" s="256">
        <f t="shared" si="111"/>
        <v>0</v>
      </c>
      <c r="DH271" s="256">
        <f t="shared" si="112"/>
        <v>0</v>
      </c>
      <c r="DI271" s="280">
        <f t="shared" si="113"/>
        <v>0</v>
      </c>
      <c r="DJ271" s="295" t="str">
        <f t="shared" si="114"/>
        <v>-</v>
      </c>
      <c r="DK271" s="266" t="str">
        <f t="shared" si="115"/>
        <v>valid</v>
      </c>
      <c r="DL271" s="267" t="str">
        <f t="shared" si="116"/>
        <v>MGSP</v>
      </c>
      <c r="DM271" s="294">
        <f t="shared" si="117"/>
        <v>117.14037400000001</v>
      </c>
      <c r="DN271" s="256">
        <f>IF(MSASP&gt;0,'Look Ups'!$AI$4*(ZVAL*MSASP-RSAG),0)</f>
        <v>38.772906799999994</v>
      </c>
      <c r="DO271" s="256">
        <f>IF(AND(MSASC&gt;0,(MSASC&gt;=0.36*RSAM)),('Look Ups'!$AI$3*(ZVAL*MSASC-RSAG)),(0))</f>
        <v>0</v>
      </c>
      <c r="DP271" s="256">
        <f>IF(MSASP&gt;0,'Look Ups'!$AI$5*(ZVAL*MSASP-RSAG),0)</f>
        <v>36.188046346666667</v>
      </c>
      <c r="DQ271" s="256">
        <f>IF(MSASC&gt;0,'Look Ups'!$AI$6*(MSASC-RSAG),0)</f>
        <v>0</v>
      </c>
      <c r="DR271" s="280">
        <f>'Look Ups'!$AI$7*MAX(IF(MSAUSC&gt;0,EUSC/100*(MSAUSC-RSAG),0),IF(CR271="Yes",ELSC/100*(MSASC-RSAG),0))</f>
        <v>0</v>
      </c>
      <c r="DS271" s="280">
        <f t="shared" si="118"/>
        <v>27.468622800000002</v>
      </c>
      <c r="DT271" s="296">
        <f t="shared" si="119"/>
        <v>155.9132808</v>
      </c>
      <c r="DU271" s="14"/>
    </row>
    <row r="272" spans="1:125" ht="15.6" customHeight="1" x14ac:dyDescent="0.3">
      <c r="A272" s="4"/>
      <c r="B272" s="365"/>
      <c r="C272" s="369" t="s">
        <v>915</v>
      </c>
      <c r="D272" s="370" t="s">
        <v>916</v>
      </c>
      <c r="E272" s="371" t="s">
        <v>917</v>
      </c>
      <c r="F272" s="252">
        <f t="shared" ca="1" si="90"/>
        <v>0.89600000000000002</v>
      </c>
      <c r="G272" s="252" t="str">
        <f ca="1">IF(OR(FLSCR="ERROR",FLSPI="ERROR"),"No",IF(TODAY()-'Look Ups'!$D$4*365&gt;I272,"WP Applied","Yes"))</f>
        <v>WP Applied</v>
      </c>
      <c r="H272" s="253" t="str">
        <f t="shared" si="91"/>
        <v>Main-Genoa-Screacher-Spinnaker</v>
      </c>
      <c r="I272" s="1">
        <v>39692</v>
      </c>
      <c r="J272" s="1"/>
      <c r="K272" s="87" t="s">
        <v>918</v>
      </c>
      <c r="L272" s="87" t="s">
        <v>182</v>
      </c>
      <c r="M272" s="207"/>
      <c r="N272" s="88" t="s">
        <v>143</v>
      </c>
      <c r="O272" s="88" t="s">
        <v>154</v>
      </c>
      <c r="P272" s="89"/>
      <c r="Q272" s="90">
        <v>8.7249999999999996</v>
      </c>
      <c r="R272" s="87"/>
      <c r="S272" s="256">
        <f t="shared" si="92"/>
        <v>0.21812500000000001</v>
      </c>
      <c r="T272" s="117">
        <v>0.15</v>
      </c>
      <c r="U272" s="117">
        <v>0</v>
      </c>
      <c r="V272" s="258">
        <f t="shared" si="93"/>
        <v>8.5749999999999993</v>
      </c>
      <c r="W272" s="259">
        <f>IF(RL&gt;0,IF(RL&gt;'Look Ups'!Y$7,'Look Ups'!Y$8,('Look Ups'!Y$3*RL^3+'Look Ups'!Y$4*RL^2+'Look Ups'!Y$5*RL+'Look Ups'!Y$6)),0)</f>
        <v>0.29557695360937503</v>
      </c>
      <c r="X272" s="92">
        <v>1705</v>
      </c>
      <c r="Y272" s="263">
        <f ca="1">IF(WDATE&lt;(TODAY()-'Look Ups'!$D$4*365),-WM*'Look Ups'!$D$5/100,0)</f>
        <v>-255.75</v>
      </c>
      <c r="Z272" s="103"/>
      <c r="AA272" s="109"/>
      <c r="AB272" s="109"/>
      <c r="AC272" s="265">
        <f>WCD+NC*'Look Ups'!$AF$3</f>
        <v>0</v>
      </c>
      <c r="AD272" s="265">
        <f ca="1">IF(RL&lt;'Look Ups'!AM$3,'Look Ups'!AM$4,IF(RL&gt;'Look Ups'!AM$5,'Look Ups'!AM$6,(RL-'Look Ups'!AM$3)/('Look Ups'!AM$5-'Look Ups'!AM$3)*('Look Ups'!AM$6-'Look Ups'!AM$4)+'Look Ups'!AM$4))/100*WS</f>
        <v>335.96250000000003</v>
      </c>
      <c r="AE272" s="269">
        <f t="shared" ca="1" si="94"/>
        <v>1449.25</v>
      </c>
      <c r="AF272" s="267">
        <f t="shared" ca="1" si="95"/>
        <v>1449.25</v>
      </c>
      <c r="AG272" s="94" t="s">
        <v>145</v>
      </c>
      <c r="AH272" s="95" t="s">
        <v>146</v>
      </c>
      <c r="AI272" s="96" t="s">
        <v>147</v>
      </c>
      <c r="AJ272" s="218"/>
      <c r="AK272" s="273">
        <f>IF(C272="",0,VLOOKUP(AG272,'Look Ups'!$F$3:$G$6,2,0)*VLOOKUP(AH272,'Look Ups'!$I$3:$J$5,2,0)*VLOOKUP(AI272,'Look Ups'!$L$3:$M$7,2,0)*IF(AJ272="",1,VLOOKUP(AJ272,'Look Ups'!$O$3:$P$4,2,0)))</f>
        <v>1</v>
      </c>
      <c r="AL272" s="83">
        <v>11.33</v>
      </c>
      <c r="AM272" s="91">
        <v>11.46</v>
      </c>
      <c r="AN272" s="91">
        <v>3.45</v>
      </c>
      <c r="AO272" s="91">
        <v>7.0000000000000007E-2</v>
      </c>
      <c r="AP272" s="91">
        <v>1.77</v>
      </c>
      <c r="AQ272" s="91">
        <v>10.95</v>
      </c>
      <c r="AR272" s="91">
        <v>0.14000000000000001</v>
      </c>
      <c r="AS272" s="91">
        <v>3.64</v>
      </c>
      <c r="AT272" s="91">
        <v>0.03</v>
      </c>
      <c r="AU272" s="91">
        <v>0.5</v>
      </c>
      <c r="AV272" s="91" t="s">
        <v>148</v>
      </c>
      <c r="AW272" s="97">
        <v>6</v>
      </c>
      <c r="AX272" s="256">
        <f t="shared" si="96"/>
        <v>10.979999999999999</v>
      </c>
      <c r="AY272" s="256">
        <f t="shared" si="97"/>
        <v>2.0531249999999996</v>
      </c>
      <c r="AZ272" s="275">
        <f>IF(C272="",0,(0.5*(_ML1*LPM)+0.5*(_ML1*HB)+0.66*(P*PR)+0.66*(_ML2*RDM)+0.66*(E*ER))*VLOOKUP(BATT,'Look Ups'!$U$3:$V$4,2,0))</f>
        <v>34.412224000000002</v>
      </c>
      <c r="BA272" s="98"/>
      <c r="BB272" s="99"/>
      <c r="BC272" s="83">
        <v>9.42</v>
      </c>
      <c r="BD272" s="91">
        <v>3.38</v>
      </c>
      <c r="BE272" s="91">
        <v>3.78</v>
      </c>
      <c r="BF272" s="91">
        <v>0.12</v>
      </c>
      <c r="BG272" s="91">
        <v>8.44</v>
      </c>
      <c r="BH272" s="91"/>
      <c r="BI272" s="91"/>
      <c r="BJ272" s="91">
        <v>0</v>
      </c>
      <c r="BK272" s="91">
        <v>-0.05</v>
      </c>
      <c r="BL272" s="97">
        <v>1</v>
      </c>
      <c r="BM272" s="275">
        <f t="shared" si="98"/>
        <v>15.908315999999999</v>
      </c>
      <c r="BN272" s="319"/>
      <c r="BO272" s="320"/>
      <c r="BP272" s="321"/>
      <c r="BQ272" s="321"/>
      <c r="BR272" s="320"/>
      <c r="BS272" s="321"/>
      <c r="BT272" s="321"/>
      <c r="BU272" s="280">
        <f t="shared" si="99"/>
        <v>0</v>
      </c>
      <c r="BV272" s="322"/>
      <c r="BW272" s="320"/>
      <c r="BX272" s="320"/>
      <c r="BY272" s="320"/>
      <c r="BZ272" s="320"/>
      <c r="CA272" s="320"/>
      <c r="CB272" s="320"/>
      <c r="CC272" s="275">
        <f t="shared" si="100"/>
        <v>0</v>
      </c>
      <c r="CD272" s="98">
        <v>8.5</v>
      </c>
      <c r="CE272" s="91">
        <v>12.5</v>
      </c>
      <c r="CF272" s="91">
        <v>11.33</v>
      </c>
      <c r="CG272" s="91">
        <v>6.7</v>
      </c>
      <c r="CH272" s="266">
        <f t="shared" si="101"/>
        <v>78.82352941176471</v>
      </c>
      <c r="CI272" s="320"/>
      <c r="CJ272" s="280">
        <f t="shared" si="102"/>
        <v>70.099916666666658</v>
      </c>
      <c r="CK272" s="83">
        <v>6.78</v>
      </c>
      <c r="CL272" s="91">
        <v>10.88</v>
      </c>
      <c r="CM272" s="91">
        <v>9.44</v>
      </c>
      <c r="CN272" s="91">
        <v>3.67</v>
      </c>
      <c r="CO272" s="256">
        <f t="shared" si="103"/>
        <v>54.129793510324475</v>
      </c>
      <c r="CP272" s="320"/>
      <c r="CQ272" s="256">
        <f t="shared" si="104"/>
        <v>36.33893333333333</v>
      </c>
      <c r="CR272" s="256" t="str">
        <f>IF(CO272&lt;'Look Ups'!$AC$4,"Yes","No")</f>
        <v>No</v>
      </c>
      <c r="CS272" s="293">
        <f>IF(CR272="Yes",MIN(150,('Look Ups'!$AC$4-PSCR)/('Look Ups'!$AC$4-'Look Ups'!$AC$3)*100),0)</f>
        <v>0</v>
      </c>
      <c r="CT272" s="83"/>
      <c r="CU272" s="91"/>
      <c r="CV272" s="91"/>
      <c r="CW272" s="91"/>
      <c r="CX272" s="256" t="str">
        <f t="shared" si="105"/>
        <v/>
      </c>
      <c r="CY272" s="293">
        <f>IF(PUSCR&lt;'Look Ups'!$AC$4,MIN(150,('Look Ups'!$AC$4-PUSCR)/('Look Ups'!$AC$4-'Look Ups'!$AC$3)*100),0)</f>
        <v>0</v>
      </c>
      <c r="CZ272" s="275">
        <f>IF(PUSCR&lt;'Look Ups'!$AC$4,USCRF*(USCRL1+USCRL2)/4+(USCRMG-USCRF/2)*(USCRL1+USCRL2)/3,0)</f>
        <v>0</v>
      </c>
      <c r="DA272" s="294">
        <f t="shared" si="106"/>
        <v>1</v>
      </c>
      <c r="DB272" s="256">
        <f t="shared" si="107"/>
        <v>36.465349000000003</v>
      </c>
      <c r="DC272" s="256">
        <f t="shared" si="108"/>
        <v>1</v>
      </c>
      <c r="DD272" s="256">
        <f t="shared" si="109"/>
        <v>15.908315999999999</v>
      </c>
      <c r="DE272" s="256">
        <f>IF(AZ272&gt;0,'Look Ups'!$S$3,0)</f>
        <v>1</v>
      </c>
      <c r="DF272" s="256">
        <f t="shared" si="110"/>
        <v>0</v>
      </c>
      <c r="DG272" s="256">
        <f t="shared" si="111"/>
        <v>0</v>
      </c>
      <c r="DH272" s="256">
        <f t="shared" si="112"/>
        <v>0</v>
      </c>
      <c r="DI272" s="280">
        <f t="shared" si="113"/>
        <v>0</v>
      </c>
      <c r="DJ272" s="295" t="str">
        <f t="shared" si="114"/>
        <v>valid</v>
      </c>
      <c r="DK272" s="266" t="str">
        <f t="shared" si="115"/>
        <v>valid</v>
      </c>
      <c r="DL272" s="267" t="str">
        <f t="shared" si="116"/>
        <v>MGScrSP</v>
      </c>
      <c r="DM272" s="294">
        <f t="shared" si="117"/>
        <v>52.373665000000003</v>
      </c>
      <c r="DN272" s="256">
        <f>IF(MSASP&gt;0,'Look Ups'!$AI$4*(ZVAL*MSASP-RSAG),0)</f>
        <v>16.257480199999996</v>
      </c>
      <c r="DO272" s="256">
        <f>IF(AND(MSASC&gt;0,(MSASC&gt;=0.36*RSAM)),('Look Ups'!$AI$3*(ZVAL*MSASC-RSAG)),(0))</f>
        <v>7.1507160666666651</v>
      </c>
      <c r="DP272" s="256">
        <f>IF(MSASP&gt;0,'Look Ups'!$AI$5*(ZVAL*MSASP-RSAG),0)</f>
        <v>15.173648186666666</v>
      </c>
      <c r="DQ272" s="256">
        <f>IF(MSASC&gt;0,'Look Ups'!$AI$6*(MSASC-RSAG),0)</f>
        <v>1.4301432133333332</v>
      </c>
      <c r="DR272" s="280">
        <f>'Look Ups'!$AI$7*MAX(IF(MSAUSC&gt;0,EUSC/100*(MSAUSC-RSAG),0),IF(CR272="Yes",ELSC/100*(MSASC-RSAG),0))</f>
        <v>0</v>
      </c>
      <c r="DS272" s="280">
        <f t="shared" si="118"/>
        <v>13.12752564</v>
      </c>
      <c r="DT272" s="296">
        <f t="shared" si="119"/>
        <v>68.977456400000008</v>
      </c>
      <c r="DU272" s="14"/>
    </row>
    <row r="273" spans="1:125" ht="15.6" customHeight="1" x14ac:dyDescent="0.3">
      <c r="A273" s="4"/>
      <c r="B273" s="365"/>
      <c r="C273" s="369" t="s">
        <v>919</v>
      </c>
      <c r="D273" s="370" t="s">
        <v>862</v>
      </c>
      <c r="E273" s="371" t="s">
        <v>920</v>
      </c>
      <c r="F273" s="252">
        <f t="shared" ca="1" si="90"/>
        <v>0.88800000000000001</v>
      </c>
      <c r="G273" s="252" t="str">
        <f ca="1">IF(OR(FLSCR="ERROR",FLSPI="ERROR"),"No",IF(TODAY()-'Look Ups'!$D$4*365&gt;I273,"WP Applied","Yes"))</f>
        <v>WP Applied</v>
      </c>
      <c r="H273" s="253" t="str">
        <f t="shared" si="91"/>
        <v>Main-Genoa-Spinnaker</v>
      </c>
      <c r="I273" s="1">
        <v>40502</v>
      </c>
      <c r="J273" s="1">
        <v>40504</v>
      </c>
      <c r="K273" s="87" t="s">
        <v>240</v>
      </c>
      <c r="L273" s="87" t="s">
        <v>636</v>
      </c>
      <c r="M273" s="207"/>
      <c r="N273" s="88" t="s">
        <v>143</v>
      </c>
      <c r="O273" s="88" t="s">
        <v>154</v>
      </c>
      <c r="P273" s="89"/>
      <c r="Q273" s="90">
        <v>8.1999999999999993</v>
      </c>
      <c r="R273" s="87"/>
      <c r="S273" s="256">
        <f t="shared" si="92"/>
        <v>0.20499999999999999</v>
      </c>
      <c r="T273" s="117">
        <v>1.3000000000000001E-2</v>
      </c>
      <c r="U273" s="117">
        <v>0</v>
      </c>
      <c r="V273" s="258">
        <f t="shared" si="93"/>
        <v>8.1869999999999994</v>
      </c>
      <c r="W273" s="259">
        <f>IF(RL&gt;0,IF(RL&gt;'Look Ups'!Y$7,'Look Ups'!Y$8,('Look Ups'!Y$3*RL^3+'Look Ups'!Y$4*RL^2+'Look Ups'!Y$5*RL+'Look Ups'!Y$6)),0)</f>
        <v>0.29441748664169903</v>
      </c>
      <c r="X273" s="92">
        <v>1220</v>
      </c>
      <c r="Y273" s="263">
        <f ca="1">IF(WDATE&lt;(TODAY()-'Look Ups'!$D$4*365),-WM*'Look Ups'!$D$5/100,0)</f>
        <v>-183</v>
      </c>
      <c r="Z273" s="103"/>
      <c r="AA273" s="109"/>
      <c r="AB273" s="109"/>
      <c r="AC273" s="265">
        <f>WCD+NC*'Look Ups'!$AF$3</f>
        <v>0</v>
      </c>
      <c r="AD273" s="265">
        <f ca="1">IF(RL&lt;'Look Ups'!AM$3,'Look Ups'!AM$4,IF(RL&gt;'Look Ups'!AM$5,'Look Ups'!AM$6,(RL-'Look Ups'!AM$3)/('Look Ups'!AM$5-'Look Ups'!AM$3)*('Look Ups'!AM$6-'Look Ups'!AM$4)+'Look Ups'!AM$4))/100*WS</f>
        <v>255.02658181818182</v>
      </c>
      <c r="AE273" s="269">
        <f t="shared" ca="1" si="94"/>
        <v>1037</v>
      </c>
      <c r="AF273" s="267">
        <f t="shared" ca="1" si="95"/>
        <v>1037</v>
      </c>
      <c r="AG273" s="94" t="s">
        <v>145</v>
      </c>
      <c r="AH273" s="95" t="s">
        <v>146</v>
      </c>
      <c r="AI273" s="96" t="s">
        <v>147</v>
      </c>
      <c r="AJ273" s="218"/>
      <c r="AK273" s="273">
        <f>IF(C273="",0,VLOOKUP(AG273,'Look Ups'!$F$3:$G$6,2,0)*VLOOKUP(AH273,'Look Ups'!$I$3:$J$5,2,0)*VLOOKUP(AI273,'Look Ups'!$L$3:$M$7,2,0)*IF(AJ273="",1,VLOOKUP(AJ273,'Look Ups'!$O$3:$P$4,2,0)))</f>
        <v>1</v>
      </c>
      <c r="AL273" s="83">
        <v>10.4</v>
      </c>
      <c r="AM273" s="91">
        <v>10.199999999999999</v>
      </c>
      <c r="AN273" s="91">
        <v>3.16</v>
      </c>
      <c r="AO273" s="91">
        <v>0.8</v>
      </c>
      <c r="AP273" s="91">
        <v>0.83</v>
      </c>
      <c r="AQ273" s="91">
        <v>10.18</v>
      </c>
      <c r="AR273" s="91">
        <v>0.13</v>
      </c>
      <c r="AS273" s="91">
        <v>3.23</v>
      </c>
      <c r="AT273" s="91">
        <v>0</v>
      </c>
      <c r="AU273" s="91"/>
      <c r="AV273" s="91" t="s">
        <v>148</v>
      </c>
      <c r="AW273" s="97">
        <v>0</v>
      </c>
      <c r="AX273" s="256">
        <f t="shared" si="96"/>
        <v>10.18</v>
      </c>
      <c r="AY273" s="256">
        <f t="shared" si="97"/>
        <v>0</v>
      </c>
      <c r="AZ273" s="275">
        <f>IF(C273="",0,(0.5*(_ML1*LPM)+0.5*(_ML1*HB)+0.66*(P*PR)+0.66*(_ML2*RDM)+0.66*(E*ER))*VLOOKUP(BATT,'Look Ups'!$U$3:$V$4,2,0))</f>
        <v>27.053004000000001</v>
      </c>
      <c r="BA273" s="98"/>
      <c r="BB273" s="99"/>
      <c r="BC273" s="83">
        <v>8.67</v>
      </c>
      <c r="BD273" s="91">
        <v>2.7</v>
      </c>
      <c r="BE273" s="91">
        <v>3.03</v>
      </c>
      <c r="BF273" s="91">
        <v>0.05</v>
      </c>
      <c r="BG273" s="91">
        <v>7.74</v>
      </c>
      <c r="BH273" s="91"/>
      <c r="BI273" s="91"/>
      <c r="BJ273" s="91">
        <v>0.1</v>
      </c>
      <c r="BK273" s="91">
        <v>0.04</v>
      </c>
      <c r="BL273" s="97">
        <v>0</v>
      </c>
      <c r="BM273" s="275">
        <f t="shared" si="98"/>
        <v>12.544218000000001</v>
      </c>
      <c r="BN273" s="319"/>
      <c r="BO273" s="320"/>
      <c r="BP273" s="321"/>
      <c r="BQ273" s="321"/>
      <c r="BR273" s="320"/>
      <c r="BS273" s="321"/>
      <c r="BT273" s="321"/>
      <c r="BU273" s="280">
        <f t="shared" si="99"/>
        <v>0</v>
      </c>
      <c r="BV273" s="322"/>
      <c r="BW273" s="320"/>
      <c r="BX273" s="320"/>
      <c r="BY273" s="320"/>
      <c r="BZ273" s="320"/>
      <c r="CA273" s="320"/>
      <c r="CB273" s="320"/>
      <c r="CC273" s="275">
        <f t="shared" si="100"/>
        <v>0</v>
      </c>
      <c r="CD273" s="98">
        <v>7.49</v>
      </c>
      <c r="CE273" s="91">
        <v>11.68</v>
      </c>
      <c r="CF273" s="91">
        <v>10.06</v>
      </c>
      <c r="CG273" s="91">
        <v>6.23</v>
      </c>
      <c r="CH273" s="266">
        <f t="shared" si="101"/>
        <v>83.177570093457945</v>
      </c>
      <c r="CI273" s="320"/>
      <c r="CJ273" s="280">
        <f t="shared" si="102"/>
        <v>58.716116666666679</v>
      </c>
      <c r="CK273" s="83"/>
      <c r="CL273" s="91"/>
      <c r="CM273" s="91"/>
      <c r="CN273" s="91"/>
      <c r="CO273" s="256" t="str">
        <f t="shared" si="103"/>
        <v/>
      </c>
      <c r="CP273" s="320"/>
      <c r="CQ273" s="256">
        <f t="shared" si="104"/>
        <v>0</v>
      </c>
      <c r="CR273" s="256" t="str">
        <f>IF(CO273&lt;'Look Ups'!$AC$4,"Yes","No")</f>
        <v>No</v>
      </c>
      <c r="CS273" s="293">
        <f>IF(CR273="Yes",MIN(150,('Look Ups'!$AC$4-PSCR)/('Look Ups'!$AC$4-'Look Ups'!$AC$3)*100),0)</f>
        <v>0</v>
      </c>
      <c r="CT273" s="83"/>
      <c r="CU273" s="91"/>
      <c r="CV273" s="91"/>
      <c r="CW273" s="91"/>
      <c r="CX273" s="256" t="str">
        <f t="shared" si="105"/>
        <v/>
      </c>
      <c r="CY273" s="293">
        <f>IF(PUSCR&lt;'Look Ups'!$AC$4,MIN(150,('Look Ups'!$AC$4-PUSCR)/('Look Ups'!$AC$4-'Look Ups'!$AC$3)*100),0)</f>
        <v>0</v>
      </c>
      <c r="CZ273" s="275">
        <f>IF(PUSCR&lt;'Look Ups'!$AC$4,USCRF*(USCRL1+USCRL2)/4+(USCRMG-USCRF/2)*(USCRL1+USCRL2)/3,0)</f>
        <v>0</v>
      </c>
      <c r="DA273" s="294">
        <f t="shared" si="106"/>
        <v>1</v>
      </c>
      <c r="DB273" s="256">
        <f t="shared" si="107"/>
        <v>27.053004000000001</v>
      </c>
      <c r="DC273" s="256">
        <f t="shared" si="108"/>
        <v>1</v>
      </c>
      <c r="DD273" s="256">
        <f t="shared" si="109"/>
        <v>12.544218000000001</v>
      </c>
      <c r="DE273" s="256">
        <f>IF(AZ273&gt;0,'Look Ups'!$S$3,0)</f>
        <v>1</v>
      </c>
      <c r="DF273" s="256">
        <f t="shared" si="110"/>
        <v>0</v>
      </c>
      <c r="DG273" s="256">
        <f t="shared" si="111"/>
        <v>0</v>
      </c>
      <c r="DH273" s="256">
        <f t="shared" si="112"/>
        <v>0</v>
      </c>
      <c r="DI273" s="280">
        <f t="shared" si="113"/>
        <v>0</v>
      </c>
      <c r="DJ273" s="295" t="str">
        <f t="shared" si="114"/>
        <v>-</v>
      </c>
      <c r="DK273" s="266" t="str">
        <f t="shared" si="115"/>
        <v>valid</v>
      </c>
      <c r="DL273" s="267" t="str">
        <f t="shared" si="116"/>
        <v>MGSP</v>
      </c>
      <c r="DM273" s="294">
        <f t="shared" si="117"/>
        <v>39.597222000000002</v>
      </c>
      <c r="DN273" s="256">
        <f>IF(MSASP&gt;0,'Look Ups'!$AI$4*(ZVAL*MSASP-RSAG),0)</f>
        <v>13.851569600000003</v>
      </c>
      <c r="DO273" s="256">
        <f>IF(AND(MSASC&gt;0,(MSASC&gt;=0.36*RSAM)),('Look Ups'!$AI$3*(ZVAL*MSASC-RSAG)),(0))</f>
        <v>0</v>
      </c>
      <c r="DP273" s="256">
        <f>IF(MSASP&gt;0,'Look Ups'!$AI$5*(ZVAL*MSASP-RSAG),0)</f>
        <v>12.928131626666671</v>
      </c>
      <c r="DQ273" s="256">
        <f>IF(MSASC&gt;0,'Look Ups'!$AI$6*(MSASC-RSAG),0)</f>
        <v>0</v>
      </c>
      <c r="DR273" s="280">
        <f>'Look Ups'!$AI$7*MAX(IF(MSAUSC&gt;0,EUSC/100*(MSAUSC-RSAG),0),IF(CR273="Yes",ELSC/100*(MSASC-RSAG),0))</f>
        <v>0</v>
      </c>
      <c r="DS273" s="280">
        <f t="shared" si="118"/>
        <v>9.7390814399999996</v>
      </c>
      <c r="DT273" s="296">
        <f t="shared" si="119"/>
        <v>53.448791600000007</v>
      </c>
      <c r="DU273" s="14"/>
    </row>
    <row r="274" spans="1:125" ht="15.6" customHeight="1" x14ac:dyDescent="0.3">
      <c r="A274" s="4"/>
      <c r="B274" s="365"/>
      <c r="C274" s="369" t="s">
        <v>921</v>
      </c>
      <c r="D274" s="370" t="s">
        <v>194</v>
      </c>
      <c r="E274" s="371" t="s">
        <v>922</v>
      </c>
      <c r="F274" s="252">
        <f t="shared" ca="1" si="90"/>
        <v>0.92600000000000005</v>
      </c>
      <c r="G274" s="252" t="str">
        <f ca="1">IF(OR(FLSCR="ERROR",FLSPI="ERROR"),"No",IF(TODAY()-'Look Ups'!$D$4*365&gt;I274,"WP Applied","Yes"))</f>
        <v>WP Applied</v>
      </c>
      <c r="H274" s="253" t="str">
        <f t="shared" si="91"/>
        <v>Main-Genoa-Spinnaker</v>
      </c>
      <c r="I274" s="1">
        <v>38731</v>
      </c>
      <c r="J274" s="1">
        <v>39102</v>
      </c>
      <c r="K274" s="87" t="s">
        <v>676</v>
      </c>
      <c r="L274" s="87" t="s">
        <v>763</v>
      </c>
      <c r="M274" s="207"/>
      <c r="N274" s="88" t="s">
        <v>143</v>
      </c>
      <c r="O274" s="88" t="s">
        <v>154</v>
      </c>
      <c r="P274" s="89"/>
      <c r="Q274" s="90">
        <v>7.42</v>
      </c>
      <c r="R274" s="87"/>
      <c r="S274" s="256">
        <f t="shared" si="92"/>
        <v>0.1855</v>
      </c>
      <c r="T274" s="117">
        <v>0.23</v>
      </c>
      <c r="U274" s="117">
        <v>0</v>
      </c>
      <c r="V274" s="258">
        <f t="shared" si="93"/>
        <v>7.1899999999999995</v>
      </c>
      <c r="W274" s="259">
        <f>IF(RL&gt;0,IF(RL&gt;'Look Ups'!Y$7,'Look Ups'!Y$8,('Look Ups'!Y$3*RL^3+'Look Ups'!Y$4*RL^2+'Look Ups'!Y$5*RL+'Look Ups'!Y$6)),0)</f>
        <v>0.29059639364700002</v>
      </c>
      <c r="X274" s="92">
        <v>900</v>
      </c>
      <c r="Y274" s="263">
        <f ca="1">IF(WDATE&lt;(TODAY()-'Look Ups'!$D$4*365),-WM*'Look Ups'!$D$5/100,0)</f>
        <v>-135</v>
      </c>
      <c r="Z274" s="103"/>
      <c r="AA274" s="109"/>
      <c r="AB274" s="109"/>
      <c r="AC274" s="265">
        <f>WCD+NC*'Look Ups'!$AF$3</f>
        <v>0</v>
      </c>
      <c r="AD274" s="265">
        <f ca="1">IF(RL&lt;'Look Ups'!AM$3,'Look Ups'!AM$4,IF(RL&gt;'Look Ups'!AM$5,'Look Ups'!AM$6,(RL-'Look Ups'!AM$3)/('Look Ups'!AM$5-'Look Ups'!AM$3)*('Look Ups'!AM$6-'Look Ups'!AM$4)+'Look Ups'!AM$4))/100*WS</f>
        <v>215.86909090909091</v>
      </c>
      <c r="AE274" s="269">
        <f t="shared" ca="1" si="94"/>
        <v>765</v>
      </c>
      <c r="AF274" s="267">
        <f t="shared" ca="1" si="95"/>
        <v>765</v>
      </c>
      <c r="AG274" s="94" t="s">
        <v>145</v>
      </c>
      <c r="AH274" s="95" t="s">
        <v>146</v>
      </c>
      <c r="AI274" s="96" t="s">
        <v>147</v>
      </c>
      <c r="AJ274" s="218"/>
      <c r="AK274" s="273">
        <f>IF(C274="",0,VLOOKUP(AG274,'Look Ups'!$F$3:$G$6,2,0)*VLOOKUP(AH274,'Look Ups'!$I$3:$J$5,2,0)*VLOOKUP(AI274,'Look Ups'!$L$3:$M$7,2,0)*IF(AJ274="",1,VLOOKUP(AJ274,'Look Ups'!$O$3:$P$4,2,0)))</f>
        <v>1</v>
      </c>
      <c r="AL274" s="83">
        <v>10.15</v>
      </c>
      <c r="AM274" s="91">
        <v>9.9</v>
      </c>
      <c r="AN274" s="91">
        <v>3.2</v>
      </c>
      <c r="AO274" s="91">
        <v>0.77</v>
      </c>
      <c r="AP274" s="91">
        <v>0.69</v>
      </c>
      <c r="AQ274" s="91">
        <v>9.85</v>
      </c>
      <c r="AR274" s="91">
        <v>0.09</v>
      </c>
      <c r="AS274" s="91">
        <v>3.3</v>
      </c>
      <c r="AT274" s="91">
        <v>0.04</v>
      </c>
      <c r="AU274" s="91">
        <v>0.48</v>
      </c>
      <c r="AV274" s="91" t="s">
        <v>148</v>
      </c>
      <c r="AW274" s="97">
        <v>0</v>
      </c>
      <c r="AX274" s="256">
        <f t="shared" si="96"/>
        <v>9.8899999999999988</v>
      </c>
      <c r="AY274" s="256">
        <f t="shared" si="97"/>
        <v>1.7729999999999997</v>
      </c>
      <c r="AZ274" s="275">
        <f>IF(C274="",0,(0.5*(_ML1*LPM)+0.5*(_ML1*HB)+0.66*(P*PR)+0.66*(_ML2*RDM)+0.66*(E*ER))*VLOOKUP(BATT,'Look Ups'!$U$3:$V$4,2,0))</f>
        <v>25.328420000000001</v>
      </c>
      <c r="BA274" s="98"/>
      <c r="BB274" s="99"/>
      <c r="BC274" s="83">
        <v>8.8699999999999992</v>
      </c>
      <c r="BD274" s="91">
        <v>2.2800000000000002</v>
      </c>
      <c r="BE274" s="91">
        <v>2.5499999999999998</v>
      </c>
      <c r="BF274" s="91">
        <v>0.06</v>
      </c>
      <c r="BG274" s="91">
        <v>8.0299999999999994</v>
      </c>
      <c r="BH274" s="91"/>
      <c r="BI274" s="91"/>
      <c r="BJ274" s="91">
        <v>-7.4999999999999997E-2</v>
      </c>
      <c r="BK274" s="91">
        <v>0.12</v>
      </c>
      <c r="BL274" s="97" t="s">
        <v>923</v>
      </c>
      <c r="BM274" s="275">
        <f t="shared" si="98"/>
        <v>10.517799</v>
      </c>
      <c r="BN274" s="319"/>
      <c r="BO274" s="320"/>
      <c r="BP274" s="321"/>
      <c r="BQ274" s="321"/>
      <c r="BR274" s="320"/>
      <c r="BS274" s="321"/>
      <c r="BT274" s="321"/>
      <c r="BU274" s="280">
        <f t="shared" si="99"/>
        <v>0</v>
      </c>
      <c r="BV274" s="322"/>
      <c r="BW274" s="320"/>
      <c r="BX274" s="320"/>
      <c r="BY274" s="320"/>
      <c r="BZ274" s="320"/>
      <c r="CA274" s="320"/>
      <c r="CB274" s="320"/>
      <c r="CC274" s="275">
        <f t="shared" si="100"/>
        <v>0</v>
      </c>
      <c r="CD274" s="98">
        <v>6.64</v>
      </c>
      <c r="CE274" s="91">
        <v>11.5</v>
      </c>
      <c r="CF274" s="91">
        <v>9.74</v>
      </c>
      <c r="CG274" s="91">
        <v>6.6</v>
      </c>
      <c r="CH274" s="266">
        <f t="shared" si="101"/>
        <v>99.397590361445793</v>
      </c>
      <c r="CI274" s="320"/>
      <c r="CJ274" s="280">
        <f t="shared" si="102"/>
        <v>58.480800000000002</v>
      </c>
      <c r="CK274" s="83"/>
      <c r="CL274" s="91">
        <v>0</v>
      </c>
      <c r="CM274" s="91">
        <v>0</v>
      </c>
      <c r="CN274" s="91">
        <v>0</v>
      </c>
      <c r="CO274" s="256" t="str">
        <f t="shared" si="103"/>
        <v/>
      </c>
      <c r="CP274" s="320"/>
      <c r="CQ274" s="256">
        <f t="shared" si="104"/>
        <v>0</v>
      </c>
      <c r="CR274" s="256" t="str">
        <f>IF(CO274&lt;'Look Ups'!$AC$4,"Yes","No")</f>
        <v>No</v>
      </c>
      <c r="CS274" s="293">
        <f>IF(CR274="Yes",MIN(150,('Look Ups'!$AC$4-PSCR)/('Look Ups'!$AC$4-'Look Ups'!$AC$3)*100),0)</f>
        <v>0</v>
      </c>
      <c r="CT274" s="83"/>
      <c r="CU274" s="91"/>
      <c r="CV274" s="91"/>
      <c r="CW274" s="91"/>
      <c r="CX274" s="256" t="str">
        <f t="shared" si="105"/>
        <v/>
      </c>
      <c r="CY274" s="293">
        <f>IF(PUSCR&lt;'Look Ups'!$AC$4,MIN(150,('Look Ups'!$AC$4-PUSCR)/('Look Ups'!$AC$4-'Look Ups'!$AC$3)*100),0)</f>
        <v>0</v>
      </c>
      <c r="CZ274" s="275">
        <f>IF(PUSCR&lt;'Look Ups'!$AC$4,USCRF*(USCRL1+USCRL2)/4+(USCRMG-USCRF/2)*(USCRL1+USCRL2)/3,0)</f>
        <v>0</v>
      </c>
      <c r="DA274" s="294">
        <f t="shared" si="106"/>
        <v>1</v>
      </c>
      <c r="DB274" s="256">
        <f t="shared" si="107"/>
        <v>27.101420000000005</v>
      </c>
      <c r="DC274" s="256">
        <f t="shared" si="108"/>
        <v>1</v>
      </c>
      <c r="DD274" s="256">
        <f t="shared" si="109"/>
        <v>10.517799</v>
      </c>
      <c r="DE274" s="256">
        <f>IF(AZ274&gt;0,'Look Ups'!$S$3,0)</f>
        <v>1</v>
      </c>
      <c r="DF274" s="256">
        <f t="shared" si="110"/>
        <v>0</v>
      </c>
      <c r="DG274" s="256">
        <f t="shared" si="111"/>
        <v>0</v>
      </c>
      <c r="DH274" s="256">
        <f t="shared" si="112"/>
        <v>0</v>
      </c>
      <c r="DI274" s="280">
        <f t="shared" si="113"/>
        <v>0</v>
      </c>
      <c r="DJ274" s="295" t="str">
        <f t="shared" si="114"/>
        <v>-</v>
      </c>
      <c r="DK274" s="266" t="str">
        <f t="shared" si="115"/>
        <v>valid</v>
      </c>
      <c r="DL274" s="267" t="str">
        <f t="shared" si="116"/>
        <v>MGSP</v>
      </c>
      <c r="DM274" s="294">
        <f t="shared" si="117"/>
        <v>37.619219000000001</v>
      </c>
      <c r="DN274" s="256">
        <f>IF(MSASP&gt;0,'Look Ups'!$AI$4*(ZVAL*MSASP-RSAG),0)</f>
        <v>14.388900300000001</v>
      </c>
      <c r="DO274" s="256">
        <f>IF(AND(MSASC&gt;0,(MSASC&gt;=0.36*RSAM)),('Look Ups'!$AI$3*(ZVAL*MSASC-RSAG)),(0))</f>
        <v>0</v>
      </c>
      <c r="DP274" s="256">
        <f>IF(MSASP&gt;0,'Look Ups'!$AI$5*(ZVAL*MSASP-RSAG),0)</f>
        <v>13.429640280000003</v>
      </c>
      <c r="DQ274" s="256">
        <f>IF(MSASC&gt;0,'Look Ups'!$AI$6*(MSASC-RSAG),0)</f>
        <v>0</v>
      </c>
      <c r="DR274" s="280">
        <f>'Look Ups'!$AI$7*MAX(IF(MSAUSC&gt;0,EUSC/100*(MSAUSC-RSAG),0),IF(CR274="Yes",ELSC/100*(MSASC-RSAG),0))</f>
        <v>0</v>
      </c>
      <c r="DS274" s="280">
        <f t="shared" si="118"/>
        <v>9.756511200000002</v>
      </c>
      <c r="DT274" s="296">
        <f t="shared" si="119"/>
        <v>52.008119300000004</v>
      </c>
      <c r="DU274" s="14"/>
    </row>
    <row r="275" spans="1:125" ht="15.6" customHeight="1" x14ac:dyDescent="0.3">
      <c r="A275" s="4"/>
      <c r="B275" s="365"/>
      <c r="C275" s="369" t="s">
        <v>924</v>
      </c>
      <c r="D275" s="370" t="s">
        <v>925</v>
      </c>
      <c r="E275" s="371" t="s">
        <v>926</v>
      </c>
      <c r="F275" s="252">
        <f t="shared" ca="1" si="90"/>
        <v>0.72599999999999998</v>
      </c>
      <c r="G275" s="252" t="str">
        <f ca="1">IF(OR(FLSCR="ERROR",FLSPI="ERROR"),"No",IF(TODAY()-'Look Ups'!$D$4*365&gt;I275,"WP Applied","Yes"))</f>
        <v>WP Applied</v>
      </c>
      <c r="H275" s="253" t="str">
        <f t="shared" si="91"/>
        <v>Main-Genoa-Spinnaker</v>
      </c>
      <c r="I275" s="1">
        <v>36236</v>
      </c>
      <c r="J275" s="1"/>
      <c r="K275" s="87" t="s">
        <v>176</v>
      </c>
      <c r="L275" s="87" t="s">
        <v>589</v>
      </c>
      <c r="M275" s="207"/>
      <c r="N275" s="88" t="s">
        <v>318</v>
      </c>
      <c r="O275" s="88"/>
      <c r="P275" s="89">
        <v>9.1</v>
      </c>
      <c r="Q275" s="90">
        <v>12.76</v>
      </c>
      <c r="R275" s="87"/>
      <c r="S275" s="256">
        <f t="shared" si="92"/>
        <v>0.31900000000000001</v>
      </c>
      <c r="T275" s="117">
        <v>0.60000000000000009</v>
      </c>
      <c r="U275" s="117">
        <v>0.4</v>
      </c>
      <c r="V275" s="258">
        <f t="shared" si="93"/>
        <v>11.76</v>
      </c>
      <c r="W275" s="259">
        <f>IF(RL&gt;0,IF(RL&gt;'Look Ups'!Y$7,'Look Ups'!Y$8,('Look Ups'!Y$3*RL^3+'Look Ups'!Y$4*RL^2+'Look Ups'!Y$5*RL+'Look Ups'!Y$6)),0)</f>
        <v>0.29987389260800001</v>
      </c>
      <c r="X275" s="92">
        <v>5614</v>
      </c>
      <c r="Y275" s="263">
        <f ca="1">IF(WDATE&lt;(TODAY()-'Look Ups'!$D$4*365),-WM*'Look Ups'!$D$5/100,0)</f>
        <v>-842.1</v>
      </c>
      <c r="Z275" s="103"/>
      <c r="AA275" s="109"/>
      <c r="AB275" s="109"/>
      <c r="AC275" s="265">
        <f>WCD+NC*'Look Ups'!$AF$3</f>
        <v>0</v>
      </c>
      <c r="AD275" s="265">
        <f ca="1">IF(RL&lt;'Look Ups'!AM$3,'Look Ups'!AM$4,IF(RL&gt;'Look Ups'!AM$5,'Look Ups'!AM$6,(RL-'Look Ups'!AM$3)/('Look Ups'!AM$5-'Look Ups'!AM$3)*('Look Ups'!AM$6-'Look Ups'!AM$4)+'Look Ups'!AM$4))/100*WS</f>
        <v>553.54039999999986</v>
      </c>
      <c r="AE275" s="269">
        <f t="shared" ca="1" si="94"/>
        <v>4771.8999999999996</v>
      </c>
      <c r="AF275" s="267">
        <f t="shared" ca="1" si="95"/>
        <v>4771.8999999999996</v>
      </c>
      <c r="AG275" s="94" t="s">
        <v>145</v>
      </c>
      <c r="AH275" s="95" t="s">
        <v>146</v>
      </c>
      <c r="AI275" s="96" t="s">
        <v>147</v>
      </c>
      <c r="AJ275" s="218"/>
      <c r="AK275" s="273">
        <f>IF(C275="",0,VLOOKUP(AG275,'Look Ups'!$F$3:$G$6,2,0)*VLOOKUP(AH275,'Look Ups'!$I$3:$J$5,2,0)*VLOOKUP(AI275,'Look Ups'!$L$3:$M$7,2,0)*IF(AJ275="",1,VLOOKUP(AJ275,'Look Ups'!$O$3:$P$4,2,0)))</f>
        <v>1</v>
      </c>
      <c r="AL275" s="83">
        <v>11.26</v>
      </c>
      <c r="AM275" s="91">
        <v>11.21</v>
      </c>
      <c r="AN275" s="91">
        <v>2.97</v>
      </c>
      <c r="AO275" s="91">
        <v>0.17</v>
      </c>
      <c r="AP275" s="91">
        <v>0.28600000000000003</v>
      </c>
      <c r="AQ275" s="91">
        <v>10.8</v>
      </c>
      <c r="AR275" s="91">
        <v>7.0000000000000007E-2</v>
      </c>
      <c r="AS275" s="91">
        <v>3.1</v>
      </c>
      <c r="AT275" s="91">
        <v>0.05</v>
      </c>
      <c r="AU275" s="91"/>
      <c r="AV275" s="91" t="s">
        <v>148</v>
      </c>
      <c r="AW275" s="97">
        <v>0</v>
      </c>
      <c r="AX275" s="256">
        <f t="shared" si="96"/>
        <v>10.850000000000001</v>
      </c>
      <c r="AY275" s="256">
        <f t="shared" si="97"/>
        <v>0</v>
      </c>
      <c r="AZ275" s="275">
        <f>IF(C275="",0,(0.5*(_ML1*LPM)+0.5*(_ML1*HB)+0.66*(P*PR)+0.66*(_ML2*RDM)+0.66*(E*ER))*VLOOKUP(BATT,'Look Ups'!$U$3:$V$4,2,0))</f>
        <v>20.395459600000002</v>
      </c>
      <c r="BA275" s="98"/>
      <c r="BB275" s="99"/>
      <c r="BC275" s="83">
        <v>12.2</v>
      </c>
      <c r="BD275" s="91">
        <v>6.24</v>
      </c>
      <c r="BE275" s="91">
        <v>6.55</v>
      </c>
      <c r="BF275" s="91">
        <v>7.0000000000000007E-2</v>
      </c>
      <c r="BG275" s="91">
        <v>11.8</v>
      </c>
      <c r="BH275" s="91"/>
      <c r="BI275" s="91"/>
      <c r="BJ275" s="91">
        <v>-0.35</v>
      </c>
      <c r="BK275" s="91">
        <v>-0.21</v>
      </c>
      <c r="BL275" s="97"/>
      <c r="BM275" s="275">
        <f t="shared" si="98"/>
        <v>33.949890000000003</v>
      </c>
      <c r="BN275" s="319"/>
      <c r="BO275" s="320"/>
      <c r="BP275" s="321"/>
      <c r="BQ275" s="321"/>
      <c r="BR275" s="320"/>
      <c r="BS275" s="321"/>
      <c r="BT275" s="321"/>
      <c r="BU275" s="280">
        <f t="shared" si="99"/>
        <v>0</v>
      </c>
      <c r="BV275" s="322"/>
      <c r="BW275" s="320"/>
      <c r="BX275" s="320"/>
      <c r="BY275" s="320"/>
      <c r="BZ275" s="320"/>
      <c r="CA275" s="320"/>
      <c r="CB275" s="320"/>
      <c r="CC275" s="275">
        <f t="shared" si="100"/>
        <v>0</v>
      </c>
      <c r="CD275" s="98">
        <v>10.199999999999999</v>
      </c>
      <c r="CE275" s="91">
        <v>14.5</v>
      </c>
      <c r="CF275" s="91">
        <v>14.5</v>
      </c>
      <c r="CG275" s="91">
        <v>10.7</v>
      </c>
      <c r="CH275" s="266">
        <f t="shared" si="101"/>
        <v>104.90196078431373</v>
      </c>
      <c r="CI275" s="320"/>
      <c r="CJ275" s="280">
        <f t="shared" si="102"/>
        <v>128.08333333333331</v>
      </c>
      <c r="CK275" s="83"/>
      <c r="CL275" s="91"/>
      <c r="CM275" s="91"/>
      <c r="CN275" s="91"/>
      <c r="CO275" s="256" t="str">
        <f t="shared" si="103"/>
        <v/>
      </c>
      <c r="CP275" s="320"/>
      <c r="CQ275" s="256">
        <f t="shared" si="104"/>
        <v>0</v>
      </c>
      <c r="CR275" s="256" t="str">
        <f>IF(CO275&lt;'Look Ups'!$AC$4,"Yes","No")</f>
        <v>No</v>
      </c>
      <c r="CS275" s="293">
        <f>IF(CR275="Yes",MIN(150,('Look Ups'!$AC$4-PSCR)/('Look Ups'!$AC$4-'Look Ups'!$AC$3)*100),0)</f>
        <v>0</v>
      </c>
      <c r="CT275" s="83"/>
      <c r="CU275" s="91"/>
      <c r="CV275" s="91"/>
      <c r="CW275" s="91"/>
      <c r="CX275" s="256" t="str">
        <f t="shared" si="105"/>
        <v/>
      </c>
      <c r="CY275" s="293">
        <f>IF(PUSCR&lt;'Look Ups'!$AC$4,MIN(150,('Look Ups'!$AC$4-PUSCR)/('Look Ups'!$AC$4-'Look Ups'!$AC$3)*100),0)</f>
        <v>0</v>
      </c>
      <c r="CZ275" s="275">
        <f>IF(PUSCR&lt;'Look Ups'!$AC$4,USCRF*(USCRL1+USCRL2)/4+(USCRMG-USCRF/2)*(USCRL1+USCRL2)/3,0)</f>
        <v>0</v>
      </c>
      <c r="DA275" s="294">
        <f t="shared" si="106"/>
        <v>1</v>
      </c>
      <c r="DB275" s="256">
        <f t="shared" si="107"/>
        <v>20.395459600000002</v>
      </c>
      <c r="DC275" s="256">
        <f t="shared" si="108"/>
        <v>1</v>
      </c>
      <c r="DD275" s="256">
        <f t="shared" si="109"/>
        <v>33.949890000000003</v>
      </c>
      <c r="DE275" s="256">
        <f>IF(AZ275&gt;0,'Look Ups'!$S$3,0)</f>
        <v>1</v>
      </c>
      <c r="DF275" s="256">
        <f t="shared" si="110"/>
        <v>0</v>
      </c>
      <c r="DG275" s="256">
        <f t="shared" si="111"/>
        <v>0</v>
      </c>
      <c r="DH275" s="256">
        <f t="shared" si="112"/>
        <v>0</v>
      </c>
      <c r="DI275" s="280">
        <f t="shared" si="113"/>
        <v>0</v>
      </c>
      <c r="DJ275" s="295" t="str">
        <f t="shared" si="114"/>
        <v>-</v>
      </c>
      <c r="DK275" s="266" t="str">
        <f t="shared" si="115"/>
        <v>valid</v>
      </c>
      <c r="DL275" s="267" t="str">
        <f t="shared" si="116"/>
        <v>MGSP</v>
      </c>
      <c r="DM275" s="294">
        <f t="shared" si="117"/>
        <v>54.345349600000006</v>
      </c>
      <c r="DN275" s="256">
        <f>IF(MSASP&gt;0,'Look Ups'!$AI$4*(ZVAL*MSASP-RSAG),0)</f>
        <v>28.24003299999999</v>
      </c>
      <c r="DO275" s="256">
        <f>IF(AND(MSASC&gt;0,(MSASC&gt;=0.36*RSAM)),('Look Ups'!$AI$3*(ZVAL*MSASC-RSAG)),(0))</f>
        <v>0</v>
      </c>
      <c r="DP275" s="256">
        <f>IF(MSASP&gt;0,'Look Ups'!$AI$5*(ZVAL*MSASP-RSAG),0)</f>
        <v>26.357364133333327</v>
      </c>
      <c r="DQ275" s="256">
        <f>IF(MSASC&gt;0,'Look Ups'!$AI$6*(MSASC-RSAG),0)</f>
        <v>0</v>
      </c>
      <c r="DR275" s="280">
        <f>'Look Ups'!$AI$7*MAX(IF(MSAUSC&gt;0,EUSC/100*(MSAUSC-RSAG),0),IF(CR275="Yes",ELSC/100*(MSASC-RSAG),0))</f>
        <v>0</v>
      </c>
      <c r="DS275" s="280">
        <f t="shared" si="118"/>
        <v>7.3423654560000005</v>
      </c>
      <c r="DT275" s="296">
        <f t="shared" si="119"/>
        <v>82.585382600000003</v>
      </c>
      <c r="DU275" s="14"/>
    </row>
    <row r="276" spans="1:125" ht="15.6" customHeight="1" x14ac:dyDescent="0.3">
      <c r="A276" s="4"/>
      <c r="B276" s="365"/>
      <c r="C276" s="369" t="s">
        <v>927</v>
      </c>
      <c r="D276" s="370" t="s">
        <v>151</v>
      </c>
      <c r="E276" s="371" t="s">
        <v>928</v>
      </c>
      <c r="F276" s="252">
        <f t="shared" ca="1" si="90"/>
        <v>0.94199999999999995</v>
      </c>
      <c r="G276" s="252" t="str">
        <f ca="1">IF(OR(FLSCR="ERROR",FLSPI="ERROR"),"No",IF(TODAY()-'Look Ups'!$D$4*365&gt;I276,"WP Applied","Yes"))</f>
        <v>WP Applied</v>
      </c>
      <c r="H276" s="253" t="str">
        <f t="shared" si="91"/>
        <v>Main-Genoa-Spinnaker</v>
      </c>
      <c r="I276" s="1">
        <v>38290</v>
      </c>
      <c r="J276" s="1"/>
      <c r="K276" s="87" t="s">
        <v>686</v>
      </c>
      <c r="L276" s="87" t="s">
        <v>182</v>
      </c>
      <c r="M276" s="207"/>
      <c r="N276" s="88" t="s">
        <v>271</v>
      </c>
      <c r="O276" s="88"/>
      <c r="P276" s="89">
        <v>5.9</v>
      </c>
      <c r="Q276" s="90">
        <v>8.25</v>
      </c>
      <c r="R276" s="87"/>
      <c r="S276" s="256">
        <f t="shared" si="92"/>
        <v>0.20625000000000002</v>
      </c>
      <c r="T276" s="117">
        <v>0.1</v>
      </c>
      <c r="U276" s="117">
        <v>0</v>
      </c>
      <c r="V276" s="258">
        <f t="shared" si="93"/>
        <v>8.15</v>
      </c>
      <c r="W276" s="259">
        <f>IF(RL&gt;0,IF(RL&gt;'Look Ups'!Y$7,'Look Ups'!Y$8,('Look Ups'!Y$3*RL^3+'Look Ups'!Y$4*RL^2+'Look Ups'!Y$5*RL+'Look Ups'!Y$6)),0)</f>
        <v>0.29429783137500004</v>
      </c>
      <c r="X276" s="92">
        <v>1085</v>
      </c>
      <c r="Y276" s="263">
        <f ca="1">IF(WDATE&lt;(TODAY()-'Look Ups'!$D$4*365),-WM*'Look Ups'!$D$5/100,0)</f>
        <v>-162.75</v>
      </c>
      <c r="Z276" s="103"/>
      <c r="AA276" s="109"/>
      <c r="AB276" s="109"/>
      <c r="AC276" s="265">
        <f>WCD+NC*'Look Ups'!$AF$3</f>
        <v>0</v>
      </c>
      <c r="AD276" s="265">
        <f ca="1">IF(RL&lt;'Look Ups'!AM$3,'Look Ups'!AM$4,IF(RL&gt;'Look Ups'!AM$5,'Look Ups'!AM$6,(RL-'Look Ups'!AM$3)/('Look Ups'!AM$5-'Look Ups'!AM$3)*('Look Ups'!AM$6-'Look Ups'!AM$4)+'Look Ups'!AM$4))/100*WS</f>
        <v>228.04727272727271</v>
      </c>
      <c r="AE276" s="269">
        <f t="shared" ca="1" si="94"/>
        <v>922.25</v>
      </c>
      <c r="AF276" s="267">
        <f t="shared" ca="1" si="95"/>
        <v>922.25</v>
      </c>
      <c r="AG276" s="94" t="s">
        <v>155</v>
      </c>
      <c r="AH276" s="95" t="s">
        <v>146</v>
      </c>
      <c r="AI276" s="96" t="s">
        <v>147</v>
      </c>
      <c r="AJ276" s="218"/>
      <c r="AK276" s="273">
        <f>IF(C276="",0,VLOOKUP(AG276,'Look Ups'!$F$3:$G$6,2,0)*VLOOKUP(AH276,'Look Ups'!$I$3:$J$5,2,0)*VLOOKUP(AI276,'Look Ups'!$L$3:$M$7,2,0)*IF(AJ276="",1,VLOOKUP(AJ276,'Look Ups'!$O$3:$P$4,2,0)))</f>
        <v>0.99</v>
      </c>
      <c r="AL276" s="83">
        <v>10.62</v>
      </c>
      <c r="AM276" s="91">
        <v>10.37</v>
      </c>
      <c r="AN276" s="91">
        <v>3.27</v>
      </c>
      <c r="AO276" s="91">
        <v>0.9</v>
      </c>
      <c r="AP276" s="91">
        <v>0.89</v>
      </c>
      <c r="AQ276" s="91">
        <v>10.220000000000001</v>
      </c>
      <c r="AR276" s="91">
        <v>0</v>
      </c>
      <c r="AS276" s="91">
        <v>3.29</v>
      </c>
      <c r="AT276" s="91">
        <v>0.03</v>
      </c>
      <c r="AU276" s="91">
        <v>0.49</v>
      </c>
      <c r="AV276" s="91" t="s">
        <v>148</v>
      </c>
      <c r="AW276" s="97">
        <v>0</v>
      </c>
      <c r="AX276" s="256">
        <f t="shared" si="96"/>
        <v>10.25</v>
      </c>
      <c r="AY276" s="256">
        <f t="shared" si="97"/>
        <v>1.8779250000000003</v>
      </c>
      <c r="AZ276" s="275">
        <f>IF(C276="",0,(0.5*(_ML1*LPM)+0.5*(_ML1*HB)+0.66*(P*PR)+0.66*(_ML2*RDM)+0.66*(E*ER))*VLOOKUP(BATT,'Look Ups'!$U$3:$V$4,2,0))</f>
        <v>28.29918</v>
      </c>
      <c r="BA276" s="98"/>
      <c r="BB276" s="99"/>
      <c r="BC276" s="83">
        <v>8.69</v>
      </c>
      <c r="BD276" s="91">
        <v>2.69</v>
      </c>
      <c r="BE276" s="91">
        <v>3.04</v>
      </c>
      <c r="BF276" s="91">
        <v>0.09</v>
      </c>
      <c r="BG276" s="91">
        <v>7.8</v>
      </c>
      <c r="BH276" s="91"/>
      <c r="BI276" s="91"/>
      <c r="BJ276" s="91">
        <v>-0.03</v>
      </c>
      <c r="BK276" s="91">
        <v>0.05</v>
      </c>
      <c r="BL276" s="97"/>
      <c r="BM276" s="275">
        <f t="shared" si="98"/>
        <v>12.000956</v>
      </c>
      <c r="BN276" s="319"/>
      <c r="BO276" s="320"/>
      <c r="BP276" s="321"/>
      <c r="BQ276" s="321"/>
      <c r="BR276" s="320"/>
      <c r="BS276" s="321"/>
      <c r="BT276" s="321"/>
      <c r="BU276" s="280">
        <f t="shared" si="99"/>
        <v>0</v>
      </c>
      <c r="BV276" s="322"/>
      <c r="BW276" s="320"/>
      <c r="BX276" s="320"/>
      <c r="BY276" s="320"/>
      <c r="BZ276" s="320"/>
      <c r="CA276" s="320"/>
      <c r="CB276" s="320"/>
      <c r="CC276" s="275">
        <f t="shared" si="100"/>
        <v>0</v>
      </c>
      <c r="CD276" s="98">
        <v>7.8</v>
      </c>
      <c r="CE276" s="91">
        <v>11.79</v>
      </c>
      <c r="CF276" s="91">
        <v>10.41</v>
      </c>
      <c r="CG276" s="91">
        <v>6.79</v>
      </c>
      <c r="CH276" s="266">
        <f t="shared" si="101"/>
        <v>87.051282051282058</v>
      </c>
      <c r="CI276" s="320"/>
      <c r="CJ276" s="280">
        <f t="shared" si="102"/>
        <v>64.676000000000002</v>
      </c>
      <c r="CK276" s="83"/>
      <c r="CL276" s="91"/>
      <c r="CM276" s="91"/>
      <c r="CN276" s="91"/>
      <c r="CO276" s="256" t="str">
        <f t="shared" si="103"/>
        <v/>
      </c>
      <c r="CP276" s="320"/>
      <c r="CQ276" s="256">
        <f t="shared" si="104"/>
        <v>0</v>
      </c>
      <c r="CR276" s="256" t="str">
        <f>IF(CO276&lt;'Look Ups'!$AC$4,"Yes","No")</f>
        <v>No</v>
      </c>
      <c r="CS276" s="293">
        <f>IF(CR276="Yes",MIN(150,('Look Ups'!$AC$4-PSCR)/('Look Ups'!$AC$4-'Look Ups'!$AC$3)*100),0)</f>
        <v>0</v>
      </c>
      <c r="CT276" s="83"/>
      <c r="CU276" s="91"/>
      <c r="CV276" s="91"/>
      <c r="CW276" s="91"/>
      <c r="CX276" s="256" t="str">
        <f t="shared" si="105"/>
        <v/>
      </c>
      <c r="CY276" s="293">
        <f>IF(PUSCR&lt;'Look Ups'!$AC$4,MIN(150,('Look Ups'!$AC$4-PUSCR)/('Look Ups'!$AC$4-'Look Ups'!$AC$3)*100),0)</f>
        <v>0</v>
      </c>
      <c r="CZ276" s="275">
        <f>IF(PUSCR&lt;'Look Ups'!$AC$4,USCRF*(USCRL1+USCRL2)/4+(USCRMG-USCRF/2)*(USCRL1+USCRL2)/3,0)</f>
        <v>0</v>
      </c>
      <c r="DA276" s="294">
        <f t="shared" si="106"/>
        <v>1</v>
      </c>
      <c r="DB276" s="256">
        <f t="shared" si="107"/>
        <v>30.177105000000001</v>
      </c>
      <c r="DC276" s="256">
        <f t="shared" si="108"/>
        <v>1</v>
      </c>
      <c r="DD276" s="256">
        <f t="shared" si="109"/>
        <v>12.000956</v>
      </c>
      <c r="DE276" s="256">
        <f>IF(AZ276&gt;0,'Look Ups'!$S$3,0)</f>
        <v>1</v>
      </c>
      <c r="DF276" s="256">
        <f t="shared" si="110"/>
        <v>0</v>
      </c>
      <c r="DG276" s="256">
        <f t="shared" si="111"/>
        <v>0</v>
      </c>
      <c r="DH276" s="256">
        <f t="shared" si="112"/>
        <v>0</v>
      </c>
      <c r="DI276" s="280">
        <f t="shared" si="113"/>
        <v>0</v>
      </c>
      <c r="DJ276" s="295" t="str">
        <f t="shared" si="114"/>
        <v>-</v>
      </c>
      <c r="DK276" s="266" t="str">
        <f t="shared" si="115"/>
        <v>valid</v>
      </c>
      <c r="DL276" s="267" t="str">
        <f t="shared" si="116"/>
        <v>MGSP</v>
      </c>
      <c r="DM276" s="294">
        <f t="shared" si="117"/>
        <v>42.178061</v>
      </c>
      <c r="DN276" s="256">
        <f>IF(MSASP&gt;0,'Look Ups'!$AI$4*(ZVAL*MSASP-RSAG),0)</f>
        <v>15.8025132</v>
      </c>
      <c r="DO276" s="256">
        <f>IF(AND(MSASC&gt;0,(MSASC&gt;=0.36*RSAM)),('Look Ups'!$AI$3*(ZVAL*MSASC-RSAG)),(0))</f>
        <v>0</v>
      </c>
      <c r="DP276" s="256">
        <f>IF(MSASP&gt;0,'Look Ups'!$AI$5*(ZVAL*MSASP-RSAG),0)</f>
        <v>14.749012320000002</v>
      </c>
      <c r="DQ276" s="256">
        <f>IF(MSASC&gt;0,'Look Ups'!$AI$6*(MSASC-RSAG),0)</f>
        <v>0</v>
      </c>
      <c r="DR276" s="280">
        <f>'Look Ups'!$AI$7*MAX(IF(MSAUSC&gt;0,EUSC/100*(MSAUSC-RSAG),0),IF(CR276="Yes",ELSC/100*(MSASC-RSAG),0))</f>
        <v>0</v>
      </c>
      <c r="DS276" s="280">
        <f t="shared" si="118"/>
        <v>10.8637578</v>
      </c>
      <c r="DT276" s="296">
        <f t="shared" si="119"/>
        <v>57.9805742</v>
      </c>
      <c r="DU276" s="14"/>
    </row>
    <row r="277" spans="1:125" ht="15.6" customHeight="1" x14ac:dyDescent="0.3">
      <c r="A277" s="4"/>
      <c r="B277" s="365"/>
      <c r="C277" s="369" t="s">
        <v>929</v>
      </c>
      <c r="D277" s="370" t="s">
        <v>930</v>
      </c>
      <c r="E277" s="371" t="s">
        <v>476</v>
      </c>
      <c r="F277" s="252">
        <f t="shared" ca="1" si="90"/>
        <v>0.84699999999999998</v>
      </c>
      <c r="G277" s="252" t="str">
        <f ca="1">IF(OR(FLSCR="ERROR",FLSPI="ERROR"),"No",IF(TODAY()-'Look Ups'!$D$4*365&gt;I277,"WP Applied","Yes"))</f>
        <v>WP Applied</v>
      </c>
      <c r="H277" s="253" t="str">
        <f t="shared" si="91"/>
        <v>Main-Genoa-Spinnaker</v>
      </c>
      <c r="I277" s="1">
        <v>38856</v>
      </c>
      <c r="J277" s="1">
        <v>38952</v>
      </c>
      <c r="K277" s="87" t="s">
        <v>931</v>
      </c>
      <c r="L277" s="87" t="s">
        <v>932</v>
      </c>
      <c r="M277" s="207"/>
      <c r="N277" s="88" t="s">
        <v>318</v>
      </c>
      <c r="O277" s="88"/>
      <c r="P277" s="89">
        <v>6.7</v>
      </c>
      <c r="Q277" s="90">
        <v>9.0299999999999994</v>
      </c>
      <c r="R277" s="87"/>
      <c r="S277" s="256">
        <f t="shared" si="92"/>
        <v>0.22575000000000001</v>
      </c>
      <c r="T277" s="117">
        <v>0.4</v>
      </c>
      <c r="U277" s="117">
        <v>0</v>
      </c>
      <c r="V277" s="258">
        <f t="shared" si="93"/>
        <v>8.629999999999999</v>
      </c>
      <c r="W277" s="259">
        <f>IF(RL&gt;0,IF(RL&gt;'Look Ups'!Y$7,'Look Ups'!Y$8,('Look Ups'!Y$3*RL^3+'Look Ups'!Y$4*RL^2+'Look Ups'!Y$5*RL+'Look Ups'!Y$6)),0)</f>
        <v>0.29572761635100003</v>
      </c>
      <c r="X277" s="92">
        <v>2050</v>
      </c>
      <c r="Y277" s="263">
        <f ca="1">IF(WDATE&lt;(TODAY()-'Look Ups'!$D$4*365),-WM*'Look Ups'!$D$5/100,0)</f>
        <v>-307.5</v>
      </c>
      <c r="Z277" s="103"/>
      <c r="AA277" s="109"/>
      <c r="AB277" s="109"/>
      <c r="AC277" s="265">
        <f>WCD+NC*'Look Ups'!$AF$3</f>
        <v>0</v>
      </c>
      <c r="AD277" s="265">
        <f ca="1">IF(RL&lt;'Look Ups'!AM$3,'Look Ups'!AM$4,IF(RL&gt;'Look Ups'!AM$5,'Look Ups'!AM$6,(RL-'Look Ups'!AM$3)/('Look Ups'!AM$5-'Look Ups'!AM$3)*('Look Ups'!AM$6-'Look Ups'!AM$4)+'Look Ups'!AM$4))/100*WS</f>
        <v>400.45818181818186</v>
      </c>
      <c r="AE277" s="269">
        <f t="shared" ca="1" si="94"/>
        <v>1742.5</v>
      </c>
      <c r="AF277" s="267">
        <f t="shared" ca="1" si="95"/>
        <v>1742.5</v>
      </c>
      <c r="AG277" s="94" t="s">
        <v>145</v>
      </c>
      <c r="AH277" s="95" t="s">
        <v>146</v>
      </c>
      <c r="AI277" s="96" t="s">
        <v>147</v>
      </c>
      <c r="AJ277" s="218"/>
      <c r="AK277" s="273">
        <f>IF(C277="",0,VLOOKUP(AG277,'Look Ups'!$F$3:$G$6,2,0)*VLOOKUP(AH277,'Look Ups'!$I$3:$J$5,2,0)*VLOOKUP(AI277,'Look Ups'!$L$3:$M$7,2,0)*IF(AJ277="",1,VLOOKUP(AJ277,'Look Ups'!$O$3:$P$4,2,0)))</f>
        <v>1</v>
      </c>
      <c r="AL277" s="83">
        <v>11.89</v>
      </c>
      <c r="AM277" s="91">
        <v>11.65</v>
      </c>
      <c r="AN277" s="91">
        <v>3.46</v>
      </c>
      <c r="AO277" s="91">
        <v>0.92</v>
      </c>
      <c r="AP277" s="91">
        <v>0.72</v>
      </c>
      <c r="AQ277" s="91">
        <v>11.49</v>
      </c>
      <c r="AR277" s="91">
        <v>0.17</v>
      </c>
      <c r="AS277" s="91">
        <v>3.65</v>
      </c>
      <c r="AT277" s="91">
        <v>0.06</v>
      </c>
      <c r="AU277" s="91">
        <v>0</v>
      </c>
      <c r="AV277" s="91" t="s">
        <v>148</v>
      </c>
      <c r="AW277" s="97">
        <v>0</v>
      </c>
      <c r="AX277" s="256">
        <f t="shared" si="96"/>
        <v>11.55</v>
      </c>
      <c r="AY277" s="256">
        <f t="shared" si="97"/>
        <v>0</v>
      </c>
      <c r="AZ277" s="275">
        <f>IF(C277="",0,(0.5*(_ML1*LPM)+0.5*(_ML1*HB)+0.66*(P*PR)+0.66*(_ML2*RDM)+0.66*(E*ER))*VLOOKUP(BATT,'Look Ups'!$U$3:$V$4,2,0))</f>
        <v>33.008898000000002</v>
      </c>
      <c r="BA277" s="98"/>
      <c r="BB277" s="99"/>
      <c r="BC277" s="83">
        <v>11.03</v>
      </c>
      <c r="BD277" s="91">
        <v>3.52</v>
      </c>
      <c r="BE277" s="91">
        <v>4.07</v>
      </c>
      <c r="BF277" s="91">
        <v>0.1</v>
      </c>
      <c r="BG277" s="91">
        <v>9.66</v>
      </c>
      <c r="BH277" s="91"/>
      <c r="BI277" s="91"/>
      <c r="BJ277" s="91">
        <v>0</v>
      </c>
      <c r="BK277" s="91">
        <v>-0.14000000000000001</v>
      </c>
      <c r="BL277" s="97">
        <v>0</v>
      </c>
      <c r="BM277" s="275">
        <f t="shared" si="98"/>
        <v>18.662247999999998</v>
      </c>
      <c r="BN277" s="319"/>
      <c r="BO277" s="320"/>
      <c r="BP277" s="321"/>
      <c r="BQ277" s="321"/>
      <c r="BR277" s="320"/>
      <c r="BS277" s="321"/>
      <c r="BT277" s="321"/>
      <c r="BU277" s="280">
        <f t="shared" si="99"/>
        <v>0</v>
      </c>
      <c r="BV277" s="322"/>
      <c r="BW277" s="320"/>
      <c r="BX277" s="320"/>
      <c r="BY277" s="320"/>
      <c r="BZ277" s="320"/>
      <c r="CA277" s="320"/>
      <c r="CB277" s="320"/>
      <c r="CC277" s="275">
        <f t="shared" si="100"/>
        <v>0</v>
      </c>
      <c r="CD277" s="98">
        <v>8.73</v>
      </c>
      <c r="CE277" s="91">
        <v>14.02</v>
      </c>
      <c r="CF277" s="91">
        <v>12.08</v>
      </c>
      <c r="CG277" s="91">
        <v>6.65</v>
      </c>
      <c r="CH277" s="266">
        <f t="shared" si="101"/>
        <v>76.174112256586483</v>
      </c>
      <c r="CI277" s="320"/>
      <c r="CJ277" s="280">
        <f t="shared" si="102"/>
        <v>76.842750000000009</v>
      </c>
      <c r="CK277" s="83">
        <v>0</v>
      </c>
      <c r="CL277" s="91">
        <v>0</v>
      </c>
      <c r="CM277" s="91">
        <v>0</v>
      </c>
      <c r="CN277" s="91">
        <v>0</v>
      </c>
      <c r="CO277" s="256" t="str">
        <f t="shared" si="103"/>
        <v/>
      </c>
      <c r="CP277" s="320"/>
      <c r="CQ277" s="256">
        <f t="shared" si="104"/>
        <v>0</v>
      </c>
      <c r="CR277" s="256" t="str">
        <f>IF(CO277&lt;'Look Ups'!$AC$4,"Yes","No")</f>
        <v>No</v>
      </c>
      <c r="CS277" s="293">
        <f>IF(CR277="Yes",MIN(150,('Look Ups'!$AC$4-PSCR)/('Look Ups'!$AC$4-'Look Ups'!$AC$3)*100),0)</f>
        <v>0</v>
      </c>
      <c r="CT277" s="83"/>
      <c r="CU277" s="91"/>
      <c r="CV277" s="91"/>
      <c r="CW277" s="91"/>
      <c r="CX277" s="256" t="str">
        <f t="shared" si="105"/>
        <v/>
      </c>
      <c r="CY277" s="293">
        <f>IF(PUSCR&lt;'Look Ups'!$AC$4,MIN(150,('Look Ups'!$AC$4-PUSCR)/('Look Ups'!$AC$4-'Look Ups'!$AC$3)*100),0)</f>
        <v>0</v>
      </c>
      <c r="CZ277" s="275">
        <f>IF(PUSCR&lt;'Look Ups'!$AC$4,USCRF*(USCRL1+USCRL2)/4+(USCRMG-USCRF/2)*(USCRL1+USCRL2)/3,0)</f>
        <v>0</v>
      </c>
      <c r="DA277" s="294">
        <f t="shared" si="106"/>
        <v>1</v>
      </c>
      <c r="DB277" s="256">
        <f t="shared" si="107"/>
        <v>33.008898000000002</v>
      </c>
      <c r="DC277" s="256">
        <f t="shared" si="108"/>
        <v>1</v>
      </c>
      <c r="DD277" s="256">
        <f t="shared" si="109"/>
        <v>18.662247999999998</v>
      </c>
      <c r="DE277" s="256">
        <f>IF(AZ277&gt;0,'Look Ups'!$S$3,0)</f>
        <v>1</v>
      </c>
      <c r="DF277" s="256">
        <f t="shared" si="110"/>
        <v>0</v>
      </c>
      <c r="DG277" s="256">
        <f t="shared" si="111"/>
        <v>0</v>
      </c>
      <c r="DH277" s="256">
        <f t="shared" si="112"/>
        <v>0</v>
      </c>
      <c r="DI277" s="280">
        <f t="shared" si="113"/>
        <v>0</v>
      </c>
      <c r="DJ277" s="295" t="str">
        <f t="shared" si="114"/>
        <v>-</v>
      </c>
      <c r="DK277" s="266" t="str">
        <f t="shared" si="115"/>
        <v>valid</v>
      </c>
      <c r="DL277" s="267" t="str">
        <f t="shared" si="116"/>
        <v>MGSP</v>
      </c>
      <c r="DM277" s="294">
        <f t="shared" si="117"/>
        <v>51.671146</v>
      </c>
      <c r="DN277" s="256">
        <f>IF(MSASP&gt;0,'Look Ups'!$AI$4*(ZVAL*MSASP-RSAG),0)</f>
        <v>17.454150600000002</v>
      </c>
      <c r="DO277" s="256">
        <f>IF(AND(MSASC&gt;0,(MSASC&gt;=0.36*RSAM)),('Look Ups'!$AI$3*(ZVAL*MSASC-RSAG)),(0))</f>
        <v>0</v>
      </c>
      <c r="DP277" s="256">
        <f>IF(MSASP&gt;0,'Look Ups'!$AI$5*(ZVAL*MSASP-RSAG),0)</f>
        <v>16.290540560000004</v>
      </c>
      <c r="DQ277" s="256">
        <f>IF(MSASC&gt;0,'Look Ups'!$AI$6*(MSASC-RSAG),0)</f>
        <v>0</v>
      </c>
      <c r="DR277" s="280">
        <f>'Look Ups'!$AI$7*MAX(IF(MSAUSC&gt;0,EUSC/100*(MSAUSC-RSAG),0),IF(CR277="Yes",ELSC/100*(MSASC-RSAG),0))</f>
        <v>0</v>
      </c>
      <c r="DS277" s="280">
        <f t="shared" si="118"/>
        <v>11.88320328</v>
      </c>
      <c r="DT277" s="296">
        <f t="shared" si="119"/>
        <v>69.125296599999999</v>
      </c>
      <c r="DU277" s="14"/>
    </row>
    <row r="278" spans="1:125" ht="15.6" customHeight="1" x14ac:dyDescent="0.3">
      <c r="A278" s="4"/>
      <c r="B278" s="365"/>
      <c r="C278" s="369" t="s">
        <v>933</v>
      </c>
      <c r="D278" s="370" t="s">
        <v>934</v>
      </c>
      <c r="E278" s="371" t="s">
        <v>935</v>
      </c>
      <c r="F278" s="252">
        <f t="shared" ca="1" si="90"/>
        <v>0.78100000000000003</v>
      </c>
      <c r="G278" s="252" t="str">
        <f ca="1">IF(OR(FLSCR="ERROR",FLSPI="ERROR"),"No",IF(TODAY()-'Look Ups'!$D$4*365&gt;I278,"WP Applied","Yes"))</f>
        <v>WP Applied</v>
      </c>
      <c r="H278" s="253" t="str">
        <f t="shared" si="91"/>
        <v>Main-Genoa-Spinnaker</v>
      </c>
      <c r="I278" s="1">
        <v>39096</v>
      </c>
      <c r="J278" s="1"/>
      <c r="K278" s="87" t="s">
        <v>313</v>
      </c>
      <c r="L278" s="87" t="s">
        <v>676</v>
      </c>
      <c r="M278" s="207"/>
      <c r="N278" s="88">
        <v>1</v>
      </c>
      <c r="O278" s="88"/>
      <c r="P278" s="89">
        <v>8.4</v>
      </c>
      <c r="Q278" s="90">
        <v>10</v>
      </c>
      <c r="R278" s="87"/>
      <c r="S278" s="256">
        <f t="shared" si="92"/>
        <v>0.25</v>
      </c>
      <c r="T278" s="117">
        <v>0.36</v>
      </c>
      <c r="U278" s="117">
        <v>0</v>
      </c>
      <c r="V278" s="258">
        <f t="shared" si="93"/>
        <v>9.64</v>
      </c>
      <c r="W278" s="259">
        <f>IF(RL&gt;0,IF(RL&gt;'Look Ups'!Y$7,'Look Ups'!Y$8,('Look Ups'!Y$3*RL^3+'Look Ups'!Y$4*RL^2+'Look Ups'!Y$5*RL+'Look Ups'!Y$6)),0)</f>
        <v>0.29794132435200005</v>
      </c>
      <c r="X278" s="92">
        <v>3100</v>
      </c>
      <c r="Y278" s="263">
        <f ca="1">IF(WDATE&lt;(TODAY()-'Look Ups'!$D$4*365),-WM*'Look Ups'!$D$5/100,0)</f>
        <v>-465</v>
      </c>
      <c r="Z278" s="103"/>
      <c r="AA278" s="109"/>
      <c r="AB278" s="109"/>
      <c r="AC278" s="265">
        <f>WCD+NC*'Look Ups'!$AF$3</f>
        <v>0</v>
      </c>
      <c r="AD278" s="265">
        <f ca="1">IF(RL&lt;'Look Ups'!AM$3,'Look Ups'!AM$4,IF(RL&gt;'Look Ups'!AM$5,'Look Ups'!AM$6,(RL-'Look Ups'!AM$3)/('Look Ups'!AM$5-'Look Ups'!AM$3)*('Look Ups'!AM$6-'Look Ups'!AM$4)+'Look Ups'!AM$4))/100*WS</f>
        <v>508.79454545454536</v>
      </c>
      <c r="AE278" s="269">
        <f t="shared" ca="1" si="94"/>
        <v>2635</v>
      </c>
      <c r="AF278" s="267">
        <f t="shared" ca="1" si="95"/>
        <v>2635</v>
      </c>
      <c r="AG278" s="94" t="s">
        <v>145</v>
      </c>
      <c r="AH278" s="95" t="s">
        <v>146</v>
      </c>
      <c r="AI278" s="96" t="s">
        <v>187</v>
      </c>
      <c r="AJ278" s="218"/>
      <c r="AK278" s="273">
        <f>IF(C278="",0,VLOOKUP(AG278,'Look Ups'!$F$3:$G$6,2,0)*VLOOKUP(AH278,'Look Ups'!$I$3:$J$5,2,0)*VLOOKUP(AI278,'Look Ups'!$L$3:$M$7,2,0)*IF(AJ278="",1,VLOOKUP(AJ278,'Look Ups'!$O$3:$P$4,2,0)))</f>
        <v>0.995</v>
      </c>
      <c r="AL278" s="83">
        <v>12.39</v>
      </c>
      <c r="AM278" s="91">
        <v>10.58</v>
      </c>
      <c r="AN278" s="91">
        <v>3.87</v>
      </c>
      <c r="AO278" s="91">
        <v>1.06</v>
      </c>
      <c r="AP278" s="91">
        <v>0.63</v>
      </c>
      <c r="AQ278" s="91">
        <v>11.54</v>
      </c>
      <c r="AR278" s="91">
        <v>0.15</v>
      </c>
      <c r="AS278" s="91">
        <v>4.18</v>
      </c>
      <c r="AT278" s="91">
        <v>0</v>
      </c>
      <c r="AU278" s="91">
        <v>0</v>
      </c>
      <c r="AV278" s="91" t="s">
        <v>148</v>
      </c>
      <c r="AW278" s="97" t="s">
        <v>936</v>
      </c>
      <c r="AX278" s="256">
        <f t="shared" si="96"/>
        <v>11.54</v>
      </c>
      <c r="AY278" s="256">
        <f t="shared" si="97"/>
        <v>0</v>
      </c>
      <c r="AZ278" s="275">
        <f>IF(C278="",0,(0.5*(_ML1*LPM)+0.5*(_ML1*HB)+0.66*(P*PR)+0.66*(_ML2*RDM)+0.66*(E*ER))*VLOOKUP(BATT,'Look Ups'!$U$3:$V$4,2,0))</f>
        <v>36.082974</v>
      </c>
      <c r="BA278" s="98"/>
      <c r="BB278" s="99"/>
      <c r="BC278" s="83">
        <v>10.81</v>
      </c>
      <c r="BD278" s="91">
        <v>3.83</v>
      </c>
      <c r="BE278" s="91">
        <v>4.53</v>
      </c>
      <c r="BF278" s="91">
        <v>0.05</v>
      </c>
      <c r="BG278" s="91">
        <v>9.2200000000000006</v>
      </c>
      <c r="BH278" s="91"/>
      <c r="BI278" s="91"/>
      <c r="BJ278" s="91">
        <v>0</v>
      </c>
      <c r="BK278" s="91">
        <v>-0.08</v>
      </c>
      <c r="BL278" s="97" t="s">
        <v>923</v>
      </c>
      <c r="BM278" s="275">
        <f t="shared" si="98"/>
        <v>20.279872000000001</v>
      </c>
      <c r="BN278" s="319"/>
      <c r="BO278" s="320"/>
      <c r="BP278" s="321"/>
      <c r="BQ278" s="321"/>
      <c r="BR278" s="320"/>
      <c r="BS278" s="321"/>
      <c r="BT278" s="321"/>
      <c r="BU278" s="280">
        <f t="shared" si="99"/>
        <v>0</v>
      </c>
      <c r="BV278" s="322"/>
      <c r="BW278" s="320"/>
      <c r="BX278" s="320"/>
      <c r="BY278" s="320"/>
      <c r="BZ278" s="320"/>
      <c r="CA278" s="320"/>
      <c r="CB278" s="320"/>
      <c r="CC278" s="275">
        <f t="shared" si="100"/>
        <v>0</v>
      </c>
      <c r="CD278" s="98">
        <v>7.5</v>
      </c>
      <c r="CE278" s="91">
        <v>13.69</v>
      </c>
      <c r="CF278" s="91">
        <v>11.03</v>
      </c>
      <c r="CG278" s="91">
        <v>7.24</v>
      </c>
      <c r="CH278" s="266">
        <f t="shared" si="101"/>
        <v>96.533333333333331</v>
      </c>
      <c r="CI278" s="320"/>
      <c r="CJ278" s="280">
        <f t="shared" si="102"/>
        <v>75.107599999999991</v>
      </c>
      <c r="CK278" s="83"/>
      <c r="CL278" s="91">
        <v>0</v>
      </c>
      <c r="CM278" s="91">
        <v>0</v>
      </c>
      <c r="CN278" s="91">
        <v>0</v>
      </c>
      <c r="CO278" s="256" t="str">
        <f t="shared" si="103"/>
        <v/>
      </c>
      <c r="CP278" s="320"/>
      <c r="CQ278" s="256">
        <f t="shared" si="104"/>
        <v>0</v>
      </c>
      <c r="CR278" s="256" t="str">
        <f>IF(CO278&lt;'Look Ups'!$AC$4,"Yes","No")</f>
        <v>No</v>
      </c>
      <c r="CS278" s="293">
        <f>IF(CR278="Yes",MIN(150,('Look Ups'!$AC$4-PSCR)/('Look Ups'!$AC$4-'Look Ups'!$AC$3)*100),0)</f>
        <v>0</v>
      </c>
      <c r="CT278" s="83"/>
      <c r="CU278" s="91"/>
      <c r="CV278" s="91"/>
      <c r="CW278" s="91"/>
      <c r="CX278" s="256" t="str">
        <f t="shared" si="105"/>
        <v/>
      </c>
      <c r="CY278" s="293">
        <f>IF(PUSCR&lt;'Look Ups'!$AC$4,MIN(150,('Look Ups'!$AC$4-PUSCR)/('Look Ups'!$AC$4-'Look Ups'!$AC$3)*100),0)</f>
        <v>0</v>
      </c>
      <c r="CZ278" s="275">
        <f>IF(PUSCR&lt;'Look Ups'!$AC$4,USCRF*(USCRL1+USCRL2)/4+(USCRMG-USCRF/2)*(USCRL1+USCRL2)/3,0)</f>
        <v>0</v>
      </c>
      <c r="DA278" s="294">
        <f t="shared" si="106"/>
        <v>1</v>
      </c>
      <c r="DB278" s="256">
        <f t="shared" si="107"/>
        <v>36.082974</v>
      </c>
      <c r="DC278" s="256">
        <f t="shared" si="108"/>
        <v>1</v>
      </c>
      <c r="DD278" s="256">
        <f t="shared" si="109"/>
        <v>20.279872000000001</v>
      </c>
      <c r="DE278" s="256">
        <f>IF(AZ278&gt;0,'Look Ups'!$S$3,0)</f>
        <v>1</v>
      </c>
      <c r="DF278" s="256">
        <f t="shared" si="110"/>
        <v>0</v>
      </c>
      <c r="DG278" s="256">
        <f t="shared" si="111"/>
        <v>0</v>
      </c>
      <c r="DH278" s="256">
        <f t="shared" si="112"/>
        <v>0</v>
      </c>
      <c r="DI278" s="280">
        <f t="shared" si="113"/>
        <v>0</v>
      </c>
      <c r="DJ278" s="295" t="str">
        <f t="shared" si="114"/>
        <v>-</v>
      </c>
      <c r="DK278" s="266" t="str">
        <f t="shared" si="115"/>
        <v>valid</v>
      </c>
      <c r="DL278" s="267" t="str">
        <f t="shared" si="116"/>
        <v>MGSP</v>
      </c>
      <c r="DM278" s="294">
        <f t="shared" si="117"/>
        <v>56.362846000000005</v>
      </c>
      <c r="DN278" s="256">
        <f>IF(MSASP&gt;0,'Look Ups'!$AI$4*(ZVAL*MSASP-RSAG),0)</f>
        <v>16.448318399999998</v>
      </c>
      <c r="DO278" s="256">
        <f>IF(AND(MSASC&gt;0,(MSASC&gt;=0.36*RSAM)),('Look Ups'!$AI$3*(ZVAL*MSASC-RSAG)),(0))</f>
        <v>0</v>
      </c>
      <c r="DP278" s="256">
        <f>IF(MSASP&gt;0,'Look Ups'!$AI$5*(ZVAL*MSASP-RSAG),0)</f>
        <v>15.35176384</v>
      </c>
      <c r="DQ278" s="256">
        <f>IF(MSASC&gt;0,'Look Ups'!$AI$6*(MSASC-RSAG),0)</f>
        <v>0</v>
      </c>
      <c r="DR278" s="280">
        <f>'Look Ups'!$AI$7*MAX(IF(MSAUSC&gt;0,EUSC/100*(MSAUSC-RSAG),0),IF(CR278="Yes",ELSC/100*(MSASC-RSAG),0))</f>
        <v>0</v>
      </c>
      <c r="DS278" s="280">
        <f t="shared" si="118"/>
        <v>12.989870639999999</v>
      </c>
      <c r="DT278" s="296">
        <f t="shared" si="119"/>
        <v>72.811164399999996</v>
      </c>
      <c r="DU278" s="14"/>
    </row>
    <row r="279" spans="1:125" ht="15.6" customHeight="1" x14ac:dyDescent="0.3">
      <c r="A279" s="4"/>
      <c r="B279" s="365"/>
      <c r="C279" s="369" t="s">
        <v>937</v>
      </c>
      <c r="D279" s="370" t="s">
        <v>938</v>
      </c>
      <c r="E279" s="371" t="s">
        <v>939</v>
      </c>
      <c r="F279" s="252">
        <f t="shared" ca="1" si="90"/>
        <v>0.98099999999999998</v>
      </c>
      <c r="G279" s="252" t="str">
        <f ca="1">IF(OR(FLSCR="ERROR",FLSPI="ERROR"),"No",IF(TODAY()-'Look Ups'!$D$4*365&gt;I279,"WP Applied","Yes"))</f>
        <v>WP Applied</v>
      </c>
      <c r="H279" s="253" t="str">
        <f t="shared" si="91"/>
        <v>Main-Genoa-Screacher (Upwind)-Spinnaker</v>
      </c>
      <c r="I279" s="1">
        <v>39150</v>
      </c>
      <c r="J279" s="1">
        <v>39353</v>
      </c>
      <c r="K279" s="87" t="s">
        <v>940</v>
      </c>
      <c r="L279" s="87" t="s">
        <v>589</v>
      </c>
      <c r="M279" s="207"/>
      <c r="N279" s="88" t="s">
        <v>318</v>
      </c>
      <c r="O279" s="88"/>
      <c r="P279" s="89"/>
      <c r="Q279" s="90">
        <v>7.1</v>
      </c>
      <c r="R279" s="87"/>
      <c r="S279" s="256">
        <f t="shared" si="92"/>
        <v>0.17749999999999999</v>
      </c>
      <c r="T279" s="117">
        <v>0.06</v>
      </c>
      <c r="U279" s="117">
        <v>0</v>
      </c>
      <c r="V279" s="258">
        <f t="shared" si="93"/>
        <v>7.04</v>
      </c>
      <c r="W279" s="259">
        <f>IF(RL&gt;0,IF(RL&gt;'Look Ups'!Y$7,'Look Ups'!Y$8,('Look Ups'!Y$3*RL^3+'Look Ups'!Y$4*RL^2+'Look Ups'!Y$5*RL+'Look Ups'!Y$6)),0)</f>
        <v>0.28990791091200002</v>
      </c>
      <c r="X279" s="92">
        <v>786</v>
      </c>
      <c r="Y279" s="263">
        <f ca="1">IF(WDATE&lt;(TODAY()-'Look Ups'!$D$4*365),-WM*'Look Ups'!$D$5/100,0)</f>
        <v>-117.9</v>
      </c>
      <c r="Z279" s="103"/>
      <c r="AA279" s="109"/>
      <c r="AB279" s="109"/>
      <c r="AC279" s="265">
        <f>WCD+NC*'Look Ups'!$AF$3</f>
        <v>0</v>
      </c>
      <c r="AD279" s="265">
        <f ca="1">IF(RL&lt;'Look Ups'!AM$3,'Look Ups'!AM$4,IF(RL&gt;'Look Ups'!AM$5,'Look Ups'!AM$6,(RL-'Look Ups'!AM$3)/('Look Ups'!AM$5-'Look Ups'!AM$3)*('Look Ups'!AM$6-'Look Ups'!AM$4)+'Look Ups'!AM$4))/100*WS</f>
        <v>192.16985454545454</v>
      </c>
      <c r="AE279" s="269">
        <f t="shared" ca="1" si="94"/>
        <v>668.1</v>
      </c>
      <c r="AF279" s="267">
        <f t="shared" ca="1" si="95"/>
        <v>668.1</v>
      </c>
      <c r="AG279" s="94" t="s">
        <v>145</v>
      </c>
      <c r="AH279" s="95" t="s">
        <v>146</v>
      </c>
      <c r="AI279" s="96" t="s">
        <v>147</v>
      </c>
      <c r="AJ279" s="218"/>
      <c r="AK279" s="273">
        <f>IF(C279="",0,VLOOKUP(AG279,'Look Ups'!$F$3:$G$6,2,0)*VLOOKUP(AH279,'Look Ups'!$I$3:$J$5,2,0)*VLOOKUP(AI279,'Look Ups'!$L$3:$M$7,2,0)*IF(AJ279="",1,VLOOKUP(AJ279,'Look Ups'!$O$3:$P$4,2,0)))</f>
        <v>1</v>
      </c>
      <c r="AL279" s="83">
        <v>10.31</v>
      </c>
      <c r="AM279" s="91">
        <v>9.93</v>
      </c>
      <c r="AN279" s="91">
        <v>3.08</v>
      </c>
      <c r="AO279" s="91">
        <v>1.1599999999999999</v>
      </c>
      <c r="AP279" s="91">
        <v>0.85</v>
      </c>
      <c r="AQ279" s="91">
        <v>9.85</v>
      </c>
      <c r="AR279" s="91">
        <v>0.15</v>
      </c>
      <c r="AS279" s="91">
        <v>3.24</v>
      </c>
      <c r="AT279" s="91">
        <v>0.06</v>
      </c>
      <c r="AU279" s="91">
        <v>0.41</v>
      </c>
      <c r="AV279" s="91" t="s">
        <v>148</v>
      </c>
      <c r="AW279" s="97">
        <v>0</v>
      </c>
      <c r="AX279" s="256">
        <f t="shared" si="96"/>
        <v>9.91</v>
      </c>
      <c r="AY279" s="256">
        <f t="shared" si="97"/>
        <v>1.5144374999999997</v>
      </c>
      <c r="AZ279" s="275">
        <f>IF(C279="",0,(0.5*(_ML1*LPM)+0.5*(_ML1*HB)+0.66*(P*PR)+0.66*(_ML2*RDM)+0.66*(E*ER))*VLOOKUP(BATT,'Look Ups'!$U$3:$V$4,2,0))</f>
        <v>28.531384000000003</v>
      </c>
      <c r="BA279" s="98"/>
      <c r="BB279" s="99"/>
      <c r="BC279" s="83">
        <v>10.68</v>
      </c>
      <c r="BD279" s="91">
        <v>2.7</v>
      </c>
      <c r="BE279" s="91">
        <v>2.85</v>
      </c>
      <c r="BF279" s="91">
        <v>0.08</v>
      </c>
      <c r="BG279" s="91">
        <v>10.1</v>
      </c>
      <c r="BH279" s="91"/>
      <c r="BI279" s="91"/>
      <c r="BJ279" s="91">
        <v>-0.19</v>
      </c>
      <c r="BK279" s="91">
        <v>-0.06</v>
      </c>
      <c r="BL279" s="97">
        <v>0</v>
      </c>
      <c r="BM279" s="275">
        <f t="shared" si="98"/>
        <v>12.879011999999999</v>
      </c>
      <c r="BN279" s="319"/>
      <c r="BO279" s="320"/>
      <c r="BP279" s="321"/>
      <c r="BQ279" s="321"/>
      <c r="BR279" s="320"/>
      <c r="BS279" s="321"/>
      <c r="BT279" s="321"/>
      <c r="BU279" s="280">
        <f t="shared" si="99"/>
        <v>0</v>
      </c>
      <c r="BV279" s="322"/>
      <c r="BW279" s="320"/>
      <c r="BX279" s="320"/>
      <c r="BY279" s="320"/>
      <c r="BZ279" s="320"/>
      <c r="CA279" s="320"/>
      <c r="CB279" s="320"/>
      <c r="CC279" s="275">
        <f t="shared" si="100"/>
        <v>0</v>
      </c>
      <c r="CD279" s="98">
        <v>5.5</v>
      </c>
      <c r="CE279" s="91">
        <v>12.5</v>
      </c>
      <c r="CF279" s="91">
        <v>10.86</v>
      </c>
      <c r="CG279" s="91">
        <v>4.42</v>
      </c>
      <c r="CH279" s="266">
        <f t="shared" si="101"/>
        <v>80.36363636363636</v>
      </c>
      <c r="CI279" s="320"/>
      <c r="CJ279" s="280">
        <f t="shared" si="102"/>
        <v>45.123733333333327</v>
      </c>
      <c r="CK279" s="83">
        <v>5.93</v>
      </c>
      <c r="CL279" s="91">
        <v>11.32</v>
      </c>
      <c r="CM279" s="91">
        <v>9.4600000000000009</v>
      </c>
      <c r="CN279" s="91">
        <v>2.98</v>
      </c>
      <c r="CO279" s="256">
        <f t="shared" si="103"/>
        <v>50.252951096121421</v>
      </c>
      <c r="CP279" s="320"/>
      <c r="CQ279" s="256">
        <f t="shared" si="104"/>
        <v>30.910250000000001</v>
      </c>
      <c r="CR279" s="256" t="str">
        <f>IF(CO279&lt;'Look Ups'!$AC$4,"Yes","No")</f>
        <v>Yes</v>
      </c>
      <c r="CS279" s="293">
        <f>IF(CR279="Yes",MIN(150,('Look Ups'!$AC$4-PSCR)/('Look Ups'!$AC$4-'Look Ups'!$AC$3)*100),0)</f>
        <v>34.940978077571572</v>
      </c>
      <c r="CT279" s="83"/>
      <c r="CU279" s="91"/>
      <c r="CV279" s="91"/>
      <c r="CW279" s="91"/>
      <c r="CX279" s="256" t="str">
        <f t="shared" si="105"/>
        <v/>
      </c>
      <c r="CY279" s="293">
        <f>IF(PUSCR&lt;'Look Ups'!$AC$4,MIN(150,('Look Ups'!$AC$4-PUSCR)/('Look Ups'!$AC$4-'Look Ups'!$AC$3)*100),0)</f>
        <v>0</v>
      </c>
      <c r="CZ279" s="275">
        <f>IF(PUSCR&lt;'Look Ups'!$AC$4,USCRF*(USCRL1+USCRL2)/4+(USCRMG-USCRF/2)*(USCRL1+USCRL2)/3,0)</f>
        <v>0</v>
      </c>
      <c r="DA279" s="294">
        <f t="shared" si="106"/>
        <v>1</v>
      </c>
      <c r="DB279" s="256">
        <f t="shared" si="107"/>
        <v>30.045821500000002</v>
      </c>
      <c r="DC279" s="256">
        <f t="shared" si="108"/>
        <v>1</v>
      </c>
      <c r="DD279" s="256">
        <f t="shared" si="109"/>
        <v>12.879011999999999</v>
      </c>
      <c r="DE279" s="256">
        <f>IF(AZ279&gt;0,'Look Ups'!$S$3,0)</f>
        <v>1</v>
      </c>
      <c r="DF279" s="256">
        <f t="shared" si="110"/>
        <v>0</v>
      </c>
      <c r="DG279" s="256">
        <f t="shared" si="111"/>
        <v>0</v>
      </c>
      <c r="DH279" s="256">
        <f t="shared" si="112"/>
        <v>0</v>
      </c>
      <c r="DI279" s="280">
        <f t="shared" si="113"/>
        <v>0</v>
      </c>
      <c r="DJ279" s="295" t="str">
        <f t="shared" si="114"/>
        <v>valid</v>
      </c>
      <c r="DK279" s="266" t="str">
        <f t="shared" si="115"/>
        <v>valid</v>
      </c>
      <c r="DL279" s="267" t="str">
        <f t="shared" si="116"/>
        <v>MGScrSP</v>
      </c>
      <c r="DM279" s="294">
        <f t="shared" si="117"/>
        <v>42.924833500000005</v>
      </c>
      <c r="DN279" s="256">
        <f>IF(MSASP&gt;0,'Look Ups'!$AI$4*(ZVAL*MSASP-RSAG),0)</f>
        <v>9.6734163999999989</v>
      </c>
      <c r="DO279" s="256">
        <f>IF(AND(MSASC&gt;0,(MSASC&gt;=0.36*RSAM)),('Look Ups'!$AI$3*(ZVAL*MSASC-RSAG)),(0))</f>
        <v>6.3109333000000003</v>
      </c>
      <c r="DP279" s="256">
        <f>IF(MSASP&gt;0,'Look Ups'!$AI$5*(ZVAL*MSASP-RSAG),0)</f>
        <v>9.0285219733333335</v>
      </c>
      <c r="DQ279" s="256">
        <f>IF(MSASC&gt;0,'Look Ups'!$AI$6*(MSASC-RSAG),0)</f>
        <v>1.2621866600000002</v>
      </c>
      <c r="DR279" s="280">
        <f>'Look Ups'!$AI$7*MAX(IF(MSAUSC&gt;0,EUSC/100*(MSAUSC-RSAG),0),IF(CR279="Yes",ELSC/100*(MSASC-RSAG),0))</f>
        <v>1.5750727291736888</v>
      </c>
      <c r="DS279" s="280">
        <f t="shared" si="118"/>
        <v>10.816495740000001</v>
      </c>
      <c r="DT279" s="296">
        <f t="shared" si="119"/>
        <v>54.790614862507027</v>
      </c>
      <c r="DU279" s="14"/>
    </row>
    <row r="280" spans="1:125" ht="15.6" customHeight="1" x14ac:dyDescent="0.3">
      <c r="A280" s="4"/>
      <c r="B280" s="365"/>
      <c r="C280" s="369" t="s">
        <v>941</v>
      </c>
      <c r="D280" s="370" t="s">
        <v>942</v>
      </c>
      <c r="E280" s="371" t="s">
        <v>235</v>
      </c>
      <c r="F280" s="252">
        <f t="shared" ca="1" si="90"/>
        <v>0.77500000000000002</v>
      </c>
      <c r="G280" s="252" t="str">
        <f ca="1">IF(OR(FLSCR="ERROR",FLSPI="ERROR"),"No",IF(TODAY()-'Look Ups'!$D$4*365&gt;I280,"WP Applied","Yes"))</f>
        <v>WP Applied</v>
      </c>
      <c r="H280" s="253" t="str">
        <f t="shared" si="91"/>
        <v>Main-Genoa</v>
      </c>
      <c r="I280" s="1">
        <v>39101</v>
      </c>
      <c r="J280" s="1">
        <v>39101</v>
      </c>
      <c r="K280" s="87" t="s">
        <v>943</v>
      </c>
      <c r="L280" s="87" t="s">
        <v>944</v>
      </c>
      <c r="M280" s="207"/>
      <c r="N280" s="88" t="s">
        <v>271</v>
      </c>
      <c r="O280" s="88"/>
      <c r="P280" s="89">
        <v>4.97</v>
      </c>
      <c r="Q280" s="90">
        <v>7.3</v>
      </c>
      <c r="R280" s="87"/>
      <c r="S280" s="256">
        <f t="shared" si="92"/>
        <v>0.1825</v>
      </c>
      <c r="T280" s="117">
        <v>0.4</v>
      </c>
      <c r="U280" s="117">
        <v>0</v>
      </c>
      <c r="V280" s="258">
        <f t="shared" si="93"/>
        <v>6.8999999999999995</v>
      </c>
      <c r="W280" s="259">
        <f>IF(RL&gt;0,IF(RL&gt;'Look Ups'!Y$7,'Look Ups'!Y$8,('Look Ups'!Y$3*RL^3+'Look Ups'!Y$4*RL^2+'Look Ups'!Y$5*RL+'Look Ups'!Y$6)),0)</f>
        <v>0.28923679700000005</v>
      </c>
      <c r="X280" s="92">
        <v>1230</v>
      </c>
      <c r="Y280" s="263">
        <f ca="1">IF(WDATE&lt;(TODAY()-'Look Ups'!$D$4*365),-WM*'Look Ups'!$D$5/100,0)</f>
        <v>-184.5</v>
      </c>
      <c r="Z280" s="103"/>
      <c r="AA280" s="109"/>
      <c r="AB280" s="109"/>
      <c r="AC280" s="265">
        <f>WCD+NC*'Look Ups'!$AF$3</f>
        <v>0</v>
      </c>
      <c r="AD280" s="265">
        <f ca="1">IF(RL&lt;'Look Ups'!AM$3,'Look Ups'!AM$4,IF(RL&gt;'Look Ups'!AM$5,'Look Ups'!AM$6,(RL-'Look Ups'!AM$3)/('Look Ups'!AM$5-'Look Ups'!AM$3)*('Look Ups'!AM$6-'Look Ups'!AM$4)+'Look Ups'!AM$4))/100*WS</f>
        <v>306.04636363636371</v>
      </c>
      <c r="AE280" s="269">
        <f t="shared" ca="1" si="94"/>
        <v>1045.5</v>
      </c>
      <c r="AF280" s="267">
        <f t="shared" ca="1" si="95"/>
        <v>1045.5</v>
      </c>
      <c r="AG280" s="94" t="s">
        <v>155</v>
      </c>
      <c r="AH280" s="95" t="s">
        <v>146</v>
      </c>
      <c r="AI280" s="96" t="s">
        <v>147</v>
      </c>
      <c r="AJ280" s="218"/>
      <c r="AK280" s="273">
        <f>IF(C280="",0,VLOOKUP(AG280,'Look Ups'!$F$3:$G$6,2,0)*VLOOKUP(AH280,'Look Ups'!$I$3:$J$5,2,0)*VLOOKUP(AI280,'Look Ups'!$L$3:$M$7,2,0)*IF(AJ280="",1,VLOOKUP(AJ280,'Look Ups'!$O$3:$P$4,2,0)))</f>
        <v>0.99</v>
      </c>
      <c r="AL280" s="83">
        <v>8.8699999999999992</v>
      </c>
      <c r="AM280" s="91">
        <v>8.17</v>
      </c>
      <c r="AN280" s="91">
        <v>3.45</v>
      </c>
      <c r="AO280" s="91">
        <v>0.49</v>
      </c>
      <c r="AP280" s="91">
        <v>0.79</v>
      </c>
      <c r="AQ280" s="91">
        <v>8.2100000000000009</v>
      </c>
      <c r="AR280" s="91">
        <v>0.12</v>
      </c>
      <c r="AS280" s="91">
        <v>3.45</v>
      </c>
      <c r="AT280" s="91">
        <v>0</v>
      </c>
      <c r="AU280" s="91"/>
      <c r="AV280" s="91" t="s">
        <v>148</v>
      </c>
      <c r="AW280" s="97">
        <v>0</v>
      </c>
      <c r="AX280" s="256">
        <f t="shared" si="96"/>
        <v>8.2100000000000009</v>
      </c>
      <c r="AY280" s="256">
        <f t="shared" si="97"/>
        <v>0</v>
      </c>
      <c r="AZ280" s="275">
        <f>IF(C280="",0,(0.5*(_ML1*LPM)+0.5*(_ML1*HB)+0.66*(P*PR)+0.66*(_ML2*RDM)+0.66*(E*ER))*VLOOKUP(BATT,'Look Ups'!$U$3:$V$4,2,0))</f>
        <v>22.383969999999998</v>
      </c>
      <c r="BA280" s="98"/>
      <c r="BB280" s="99"/>
      <c r="BC280" s="83">
        <v>8.4</v>
      </c>
      <c r="BD280" s="91">
        <v>3.65</v>
      </c>
      <c r="BE280" s="91">
        <v>4.0199999999999996</v>
      </c>
      <c r="BF280" s="91">
        <v>0.11</v>
      </c>
      <c r="BG280" s="91">
        <v>7.6</v>
      </c>
      <c r="BH280" s="91"/>
      <c r="BI280" s="91"/>
      <c r="BJ280" s="91">
        <v>0</v>
      </c>
      <c r="BK280" s="91">
        <v>-8.5000000000000006E-2</v>
      </c>
      <c r="BL280" s="97">
        <v>0</v>
      </c>
      <c r="BM280" s="275">
        <f t="shared" si="98"/>
        <v>15.150612000000001</v>
      </c>
      <c r="BN280" s="319"/>
      <c r="BO280" s="320"/>
      <c r="BP280" s="321"/>
      <c r="BQ280" s="321"/>
      <c r="BR280" s="320"/>
      <c r="BS280" s="321"/>
      <c r="BT280" s="321"/>
      <c r="BU280" s="280">
        <f t="shared" si="99"/>
        <v>0</v>
      </c>
      <c r="BV280" s="322"/>
      <c r="BW280" s="320"/>
      <c r="BX280" s="320"/>
      <c r="BY280" s="320"/>
      <c r="BZ280" s="320"/>
      <c r="CA280" s="320"/>
      <c r="CB280" s="320"/>
      <c r="CC280" s="275">
        <f t="shared" si="100"/>
        <v>0</v>
      </c>
      <c r="CD280" s="98"/>
      <c r="CE280" s="91"/>
      <c r="CF280" s="91"/>
      <c r="CG280" s="91"/>
      <c r="CH280" s="266" t="str">
        <f t="shared" si="101"/>
        <v/>
      </c>
      <c r="CI280" s="320"/>
      <c r="CJ280" s="280">
        <f t="shared" si="102"/>
        <v>0</v>
      </c>
      <c r="CK280" s="83"/>
      <c r="CL280" s="91"/>
      <c r="CM280" s="91"/>
      <c r="CN280" s="91"/>
      <c r="CO280" s="256" t="str">
        <f t="shared" si="103"/>
        <v/>
      </c>
      <c r="CP280" s="320"/>
      <c r="CQ280" s="256">
        <f t="shared" si="104"/>
        <v>0</v>
      </c>
      <c r="CR280" s="256" t="str">
        <f>IF(CO280&lt;'Look Ups'!$AC$4,"Yes","No")</f>
        <v>No</v>
      </c>
      <c r="CS280" s="293">
        <f>IF(CR280="Yes",MIN(150,('Look Ups'!$AC$4-PSCR)/('Look Ups'!$AC$4-'Look Ups'!$AC$3)*100),0)</f>
        <v>0</v>
      </c>
      <c r="CT280" s="83"/>
      <c r="CU280" s="91"/>
      <c r="CV280" s="91"/>
      <c r="CW280" s="91"/>
      <c r="CX280" s="256" t="str">
        <f t="shared" si="105"/>
        <v/>
      </c>
      <c r="CY280" s="293">
        <f>IF(PUSCR&lt;'Look Ups'!$AC$4,MIN(150,('Look Ups'!$AC$4-PUSCR)/('Look Ups'!$AC$4-'Look Ups'!$AC$3)*100),0)</f>
        <v>0</v>
      </c>
      <c r="CZ280" s="275">
        <f>IF(PUSCR&lt;'Look Ups'!$AC$4,USCRF*(USCRL1+USCRL2)/4+(USCRMG-USCRF/2)*(USCRL1+USCRL2)/3,0)</f>
        <v>0</v>
      </c>
      <c r="DA280" s="294">
        <f t="shared" si="106"/>
        <v>1</v>
      </c>
      <c r="DB280" s="256">
        <f t="shared" si="107"/>
        <v>22.383969999999998</v>
      </c>
      <c r="DC280" s="256">
        <f t="shared" si="108"/>
        <v>1</v>
      </c>
      <c r="DD280" s="256">
        <f t="shared" si="109"/>
        <v>15.150612000000001</v>
      </c>
      <c r="DE280" s="256">
        <f>IF(AZ280&gt;0,'Look Ups'!$S$3,0)</f>
        <v>1</v>
      </c>
      <c r="DF280" s="256">
        <f t="shared" si="110"/>
        <v>0</v>
      </c>
      <c r="DG280" s="256">
        <f t="shared" si="111"/>
        <v>0</v>
      </c>
      <c r="DH280" s="256">
        <f t="shared" si="112"/>
        <v>0</v>
      </c>
      <c r="DI280" s="280">
        <f t="shared" si="113"/>
        <v>0</v>
      </c>
      <c r="DJ280" s="295" t="str">
        <f t="shared" si="114"/>
        <v>-</v>
      </c>
      <c r="DK280" s="266" t="str">
        <f t="shared" si="115"/>
        <v>-</v>
      </c>
      <c r="DL280" s="267" t="str">
        <f t="shared" si="116"/>
        <v>MG</v>
      </c>
      <c r="DM280" s="294">
        <f t="shared" si="117"/>
        <v>37.534582</v>
      </c>
      <c r="DN280" s="256">
        <f>IF(MSASP&gt;0,'Look Ups'!$AI$4*(ZVAL*MSASP-RSAG),0)</f>
        <v>0</v>
      </c>
      <c r="DO280" s="256">
        <f>IF(AND(MSASC&gt;0,(MSASC&gt;=0.36*RSAM)),('Look Ups'!$AI$3*(ZVAL*MSASC-RSAG)),(0))</f>
        <v>0</v>
      </c>
      <c r="DP280" s="256">
        <f>IF(MSASP&gt;0,'Look Ups'!$AI$5*(ZVAL*MSASP-RSAG),0)</f>
        <v>0</v>
      </c>
      <c r="DQ280" s="256">
        <f>IF(MSASC&gt;0,'Look Ups'!$AI$6*(MSASC-RSAG),0)</f>
        <v>0</v>
      </c>
      <c r="DR280" s="280">
        <f>'Look Ups'!$AI$7*MAX(IF(MSAUSC&gt;0,EUSC/100*(MSAUSC-RSAG),0),IF(CR280="Yes",ELSC/100*(MSASC-RSAG),0))</f>
        <v>0</v>
      </c>
      <c r="DS280" s="280">
        <f t="shared" si="118"/>
        <v>8.0582291999999995</v>
      </c>
      <c r="DT280" s="296">
        <f t="shared" si="119"/>
        <v>45.5928112</v>
      </c>
      <c r="DU280" s="14"/>
    </row>
    <row r="281" spans="1:125" ht="15.6" customHeight="1" x14ac:dyDescent="0.3">
      <c r="A281" s="4"/>
      <c r="B281" s="365"/>
      <c r="C281" s="369" t="s">
        <v>945</v>
      </c>
      <c r="D281" s="370" t="s">
        <v>327</v>
      </c>
      <c r="E281" s="371" t="s">
        <v>946</v>
      </c>
      <c r="F281" s="252">
        <f t="shared" ca="1" si="90"/>
        <v>0.95799999999999996</v>
      </c>
      <c r="G281" s="252" t="str">
        <f ca="1">IF(OR(FLSCR="ERROR",FLSPI="ERROR"),"No",IF(TODAY()-'Look Ups'!$D$4*365&gt;I281,"WP Applied","Yes"))</f>
        <v>WP Applied</v>
      </c>
      <c r="H281" s="253" t="str">
        <f t="shared" si="91"/>
        <v>Main-Genoa-Spinnaker</v>
      </c>
      <c r="I281" s="1">
        <v>38951</v>
      </c>
      <c r="J281" s="1">
        <v>40766</v>
      </c>
      <c r="K281" s="87" t="s">
        <v>657</v>
      </c>
      <c r="L281" s="87" t="s">
        <v>170</v>
      </c>
      <c r="M281" s="207"/>
      <c r="N281" s="88" t="s">
        <v>143</v>
      </c>
      <c r="O281" s="88"/>
      <c r="P281" s="89"/>
      <c r="Q281" s="90">
        <v>7.99</v>
      </c>
      <c r="R281" s="87"/>
      <c r="S281" s="256">
        <f t="shared" si="92"/>
        <v>0.19975000000000001</v>
      </c>
      <c r="T281" s="117">
        <v>0.05</v>
      </c>
      <c r="U281" s="117">
        <v>0</v>
      </c>
      <c r="V281" s="258">
        <f t="shared" si="93"/>
        <v>7.94</v>
      </c>
      <c r="W281" s="259">
        <f>IF(RL&gt;0,IF(RL&gt;'Look Ups'!Y$7,'Look Ups'!Y$8,('Look Ups'!Y$3*RL^3+'Look Ups'!Y$4*RL^2+'Look Ups'!Y$5*RL+'Look Ups'!Y$6)),0)</f>
        <v>0.293587644072</v>
      </c>
      <c r="X281" s="92">
        <v>1230</v>
      </c>
      <c r="Y281" s="263">
        <f ca="1">IF(WDATE&lt;(TODAY()-'Look Ups'!$D$4*365),-WM*'Look Ups'!$D$5/100,0)</f>
        <v>-184.5</v>
      </c>
      <c r="Z281" s="103"/>
      <c r="AA281" s="109"/>
      <c r="AB281" s="109"/>
      <c r="AC281" s="265">
        <f>WCD+NC*'Look Ups'!$AF$3</f>
        <v>0</v>
      </c>
      <c r="AD281" s="265">
        <f ca="1">IF(RL&lt;'Look Ups'!AM$3,'Look Ups'!AM$4,IF(RL&gt;'Look Ups'!AM$5,'Look Ups'!AM$6,(RL-'Look Ups'!AM$3)/('Look Ups'!AM$5-'Look Ups'!AM$3)*('Look Ups'!AM$6-'Look Ups'!AM$4)+'Look Ups'!AM$4))/100*WS</f>
        <v>266.50745454545449</v>
      </c>
      <c r="AE281" s="269">
        <f t="shared" ca="1" si="94"/>
        <v>1045.5</v>
      </c>
      <c r="AF281" s="267">
        <f t="shared" ca="1" si="95"/>
        <v>1045.5</v>
      </c>
      <c r="AG281" s="94" t="s">
        <v>145</v>
      </c>
      <c r="AH281" s="95" t="s">
        <v>146</v>
      </c>
      <c r="AI281" s="96" t="s">
        <v>147</v>
      </c>
      <c r="AJ281" s="218"/>
      <c r="AK281" s="273">
        <f>IF(C281="",0,VLOOKUP(AG281,'Look Ups'!$F$3:$G$6,2,0)*VLOOKUP(AH281,'Look Ups'!$I$3:$J$5,2,0)*VLOOKUP(AI281,'Look Ups'!$L$3:$M$7,2,0)*IF(AJ281="",1,VLOOKUP(AJ281,'Look Ups'!$O$3:$P$4,2,0)))</f>
        <v>1</v>
      </c>
      <c r="AL281" s="83">
        <v>11.67</v>
      </c>
      <c r="AM281" s="91">
        <v>11.46</v>
      </c>
      <c r="AN281" s="91">
        <v>3.13</v>
      </c>
      <c r="AO281" s="91">
        <v>0.77500000000000002</v>
      </c>
      <c r="AP281" s="91">
        <v>0.95</v>
      </c>
      <c r="AQ281" s="91">
        <v>11.26</v>
      </c>
      <c r="AR281" s="91">
        <v>7.4999999999999997E-2</v>
      </c>
      <c r="AS281" s="91">
        <v>3.25</v>
      </c>
      <c r="AT281" s="91">
        <v>0</v>
      </c>
      <c r="AU281" s="91">
        <v>0.57999999999999996</v>
      </c>
      <c r="AV281" s="91" t="s">
        <v>148</v>
      </c>
      <c r="AW281" s="97"/>
      <c r="AX281" s="256">
        <f t="shared" si="96"/>
        <v>11.26</v>
      </c>
      <c r="AY281" s="256">
        <f t="shared" si="97"/>
        <v>2.4490499999999997</v>
      </c>
      <c r="AZ281" s="275">
        <f>IF(C281="",0,(0.5*(_ML1*LPM)+0.5*(_ML1*HB)+0.66*(P*PR)+0.66*(_ML2*RDM)+0.66*(E*ER))*VLOOKUP(BATT,'Look Ups'!$U$3:$V$4,2,0))</f>
        <v>30.528464999999997</v>
      </c>
      <c r="BA281" s="98"/>
      <c r="BB281" s="99"/>
      <c r="BC281" s="83">
        <v>9.82</v>
      </c>
      <c r="BD281" s="91">
        <v>3.4</v>
      </c>
      <c r="BE281" s="91">
        <v>3.72</v>
      </c>
      <c r="BF281" s="91">
        <v>0.13</v>
      </c>
      <c r="BG281" s="91">
        <v>8.8800000000000008</v>
      </c>
      <c r="BH281" s="91"/>
      <c r="BI281" s="91"/>
      <c r="BJ281" s="91">
        <v>-0.03</v>
      </c>
      <c r="BK281" s="91">
        <v>-0.04</v>
      </c>
      <c r="BL281" s="97"/>
      <c r="BM281" s="275">
        <f t="shared" si="98"/>
        <v>16.578104</v>
      </c>
      <c r="BN281" s="319"/>
      <c r="BO281" s="320"/>
      <c r="BP281" s="321"/>
      <c r="BQ281" s="321"/>
      <c r="BR281" s="320"/>
      <c r="BS281" s="321"/>
      <c r="BT281" s="321"/>
      <c r="BU281" s="280">
        <f t="shared" si="99"/>
        <v>0</v>
      </c>
      <c r="BV281" s="322"/>
      <c r="BW281" s="320"/>
      <c r="BX281" s="320"/>
      <c r="BY281" s="320"/>
      <c r="BZ281" s="320"/>
      <c r="CA281" s="320"/>
      <c r="CB281" s="320"/>
      <c r="CC281" s="275">
        <f t="shared" si="100"/>
        <v>0</v>
      </c>
      <c r="CD281" s="98">
        <v>7.34</v>
      </c>
      <c r="CE281" s="91">
        <v>13.7</v>
      </c>
      <c r="CF281" s="91">
        <v>12.12</v>
      </c>
      <c r="CG281" s="91">
        <v>6.76</v>
      </c>
      <c r="CH281" s="266">
        <f t="shared" si="101"/>
        <v>92.098092643051771</v>
      </c>
      <c r="CI281" s="320"/>
      <c r="CJ281" s="280">
        <f t="shared" si="102"/>
        <v>73.974299999999999</v>
      </c>
      <c r="CK281" s="83"/>
      <c r="CL281" s="91"/>
      <c r="CM281" s="91"/>
      <c r="CN281" s="91"/>
      <c r="CO281" s="256" t="str">
        <f t="shared" si="103"/>
        <v/>
      </c>
      <c r="CP281" s="320"/>
      <c r="CQ281" s="256">
        <f t="shared" si="104"/>
        <v>0</v>
      </c>
      <c r="CR281" s="256" t="str">
        <f>IF(CO281&lt;'Look Ups'!$AC$4,"Yes","No")</f>
        <v>No</v>
      </c>
      <c r="CS281" s="293">
        <f>IF(CR281="Yes",MIN(150,('Look Ups'!$AC$4-PSCR)/('Look Ups'!$AC$4-'Look Ups'!$AC$3)*100),0)</f>
        <v>0</v>
      </c>
      <c r="CT281" s="83"/>
      <c r="CU281" s="91"/>
      <c r="CV281" s="91"/>
      <c r="CW281" s="91"/>
      <c r="CX281" s="256" t="str">
        <f t="shared" si="105"/>
        <v/>
      </c>
      <c r="CY281" s="293">
        <f>IF(PUSCR&lt;'Look Ups'!$AC$4,MIN(150,('Look Ups'!$AC$4-PUSCR)/('Look Ups'!$AC$4-'Look Ups'!$AC$3)*100),0)</f>
        <v>0</v>
      </c>
      <c r="CZ281" s="275">
        <f>IF(PUSCR&lt;'Look Ups'!$AC$4,USCRF*(USCRL1+USCRL2)/4+(USCRMG-USCRF/2)*(USCRL1+USCRL2)/3,0)</f>
        <v>0</v>
      </c>
      <c r="DA281" s="294">
        <f t="shared" si="106"/>
        <v>1</v>
      </c>
      <c r="DB281" s="256">
        <f t="shared" si="107"/>
        <v>32.977514999999997</v>
      </c>
      <c r="DC281" s="256">
        <f t="shared" si="108"/>
        <v>1</v>
      </c>
      <c r="DD281" s="256">
        <f t="shared" si="109"/>
        <v>16.578104</v>
      </c>
      <c r="DE281" s="256">
        <f>IF(AZ281&gt;0,'Look Ups'!$S$3,0)</f>
        <v>1</v>
      </c>
      <c r="DF281" s="256">
        <f t="shared" si="110"/>
        <v>0</v>
      </c>
      <c r="DG281" s="256">
        <f t="shared" si="111"/>
        <v>0</v>
      </c>
      <c r="DH281" s="256">
        <f t="shared" si="112"/>
        <v>0</v>
      </c>
      <c r="DI281" s="280">
        <f t="shared" si="113"/>
        <v>0</v>
      </c>
      <c r="DJ281" s="295" t="str">
        <f t="shared" si="114"/>
        <v>-</v>
      </c>
      <c r="DK281" s="266" t="str">
        <f t="shared" si="115"/>
        <v>valid</v>
      </c>
      <c r="DL281" s="267" t="str">
        <f t="shared" si="116"/>
        <v>MGSP</v>
      </c>
      <c r="DM281" s="294">
        <f t="shared" si="117"/>
        <v>49.555618999999993</v>
      </c>
      <c r="DN281" s="256">
        <f>IF(MSASP&gt;0,'Look Ups'!$AI$4*(ZVAL*MSASP-RSAG),0)</f>
        <v>17.2188588</v>
      </c>
      <c r="DO281" s="256">
        <f>IF(AND(MSASC&gt;0,(MSASC&gt;=0.36*RSAM)),('Look Ups'!$AI$3*(ZVAL*MSASC-RSAG)),(0))</f>
        <v>0</v>
      </c>
      <c r="DP281" s="256">
        <f>IF(MSASP&gt;0,'Look Ups'!$AI$5*(ZVAL*MSASP-RSAG),0)</f>
        <v>16.070934880000003</v>
      </c>
      <c r="DQ281" s="256">
        <f>IF(MSASC&gt;0,'Look Ups'!$AI$6*(MSASC-RSAG),0)</f>
        <v>0</v>
      </c>
      <c r="DR281" s="280">
        <f>'Look Ups'!$AI$7*MAX(IF(MSAUSC&gt;0,EUSC/100*(MSAUSC-RSAG),0),IF(CR281="Yes",ELSC/100*(MSASC-RSAG),0))</f>
        <v>0</v>
      </c>
      <c r="DS281" s="280">
        <f t="shared" si="118"/>
        <v>11.871905399999999</v>
      </c>
      <c r="DT281" s="296">
        <f t="shared" si="119"/>
        <v>66.7744778</v>
      </c>
      <c r="DU281" s="14"/>
    </row>
    <row r="282" spans="1:125" ht="15.6" customHeight="1" x14ac:dyDescent="0.3">
      <c r="A282" s="4"/>
      <c r="B282" s="365"/>
      <c r="C282" s="369" t="s">
        <v>947</v>
      </c>
      <c r="D282" s="370" t="s">
        <v>313</v>
      </c>
      <c r="E282" s="371" t="s">
        <v>313</v>
      </c>
      <c r="F282" s="252">
        <f t="shared" ca="1" si="90"/>
        <v>0.77300000000000002</v>
      </c>
      <c r="G282" s="252" t="str">
        <f ca="1">IF(OR(FLSCR="ERROR",FLSPI="ERROR"),"No",IF(TODAY()-'Look Ups'!$D$4*365&gt;I282,"WP Applied","Yes"))</f>
        <v>WP Applied</v>
      </c>
      <c r="H282" s="253" t="str">
        <f t="shared" si="91"/>
        <v>Main-Genoa-Screacher</v>
      </c>
      <c r="I282" s="1">
        <v>40480</v>
      </c>
      <c r="J282" s="1"/>
      <c r="K282" s="87" t="s">
        <v>948</v>
      </c>
      <c r="L282" s="87" t="s">
        <v>192</v>
      </c>
      <c r="M282" s="207"/>
      <c r="N282" s="88" t="s">
        <v>165</v>
      </c>
      <c r="O282" s="88"/>
      <c r="P282" s="89">
        <v>2.5</v>
      </c>
      <c r="Q282" s="90">
        <v>7.15</v>
      </c>
      <c r="R282" s="87"/>
      <c r="S282" s="256">
        <f t="shared" si="92"/>
        <v>0.17875000000000002</v>
      </c>
      <c r="T282" s="117">
        <v>0.30000000000000004</v>
      </c>
      <c r="U282" s="117">
        <v>0</v>
      </c>
      <c r="V282" s="258">
        <f t="shared" si="93"/>
        <v>6.8500000000000005</v>
      </c>
      <c r="W282" s="259">
        <f>IF(RL&gt;0,IF(RL&gt;'Look Ups'!Y$7,'Look Ups'!Y$8,('Look Ups'!Y$3*RL^3+'Look Ups'!Y$4*RL^2+'Look Ups'!Y$5*RL+'Look Ups'!Y$6)),0)</f>
        <v>0.288990331125</v>
      </c>
      <c r="X282" s="92">
        <v>740</v>
      </c>
      <c r="Y282" s="263">
        <f ca="1">IF(WDATE&lt;(TODAY()-'Look Ups'!$D$4*365),-WM*'Look Ups'!$D$5/100,0)</f>
        <v>-111</v>
      </c>
      <c r="Z282" s="103"/>
      <c r="AA282" s="109"/>
      <c r="AB282" s="109"/>
      <c r="AC282" s="265">
        <f>WCD+NC*'Look Ups'!$AF$3</f>
        <v>0</v>
      </c>
      <c r="AD282" s="265">
        <f ca="1">IF(RL&lt;'Look Ups'!AM$3,'Look Ups'!AM$4,IF(RL&gt;'Look Ups'!AM$5,'Look Ups'!AM$6,(RL-'Look Ups'!AM$3)/('Look Ups'!AM$5-'Look Ups'!AM$3)*('Look Ups'!AM$6-'Look Ups'!AM$4)+'Look Ups'!AM$4))/100*WS</f>
        <v>185.26909090909092</v>
      </c>
      <c r="AE282" s="269">
        <f t="shared" ca="1" si="94"/>
        <v>629</v>
      </c>
      <c r="AF282" s="267">
        <f t="shared" ca="1" si="95"/>
        <v>629</v>
      </c>
      <c r="AG282" s="94" t="s">
        <v>145</v>
      </c>
      <c r="AH282" s="95" t="s">
        <v>146</v>
      </c>
      <c r="AI282" s="96" t="s">
        <v>147</v>
      </c>
      <c r="AJ282" s="218"/>
      <c r="AK282" s="273">
        <f>IF(C282="",0,VLOOKUP(AG282,'Look Ups'!$F$3:$G$6,2,0)*VLOOKUP(AH282,'Look Ups'!$I$3:$J$5,2,0)*VLOOKUP(AI282,'Look Ups'!$L$3:$M$7,2,0)*IF(AJ282="",1,VLOOKUP(AJ282,'Look Ups'!$O$3:$P$4,2,0)))</f>
        <v>1</v>
      </c>
      <c r="AL282" s="83">
        <v>9.08</v>
      </c>
      <c r="AM282" s="91">
        <v>8.8800000000000008</v>
      </c>
      <c r="AN282" s="91">
        <v>2.87</v>
      </c>
      <c r="AO282" s="91">
        <v>0.72</v>
      </c>
      <c r="AP282" s="91">
        <v>0.20500000000000002</v>
      </c>
      <c r="AQ282" s="91">
        <v>8.7799999999999994</v>
      </c>
      <c r="AR282" s="91">
        <v>0.16</v>
      </c>
      <c r="AS282" s="91">
        <v>3</v>
      </c>
      <c r="AT282" s="91">
        <v>0</v>
      </c>
      <c r="AU282" s="91"/>
      <c r="AV282" s="91" t="s">
        <v>148</v>
      </c>
      <c r="AW282" s="97" t="s">
        <v>949</v>
      </c>
      <c r="AX282" s="256">
        <f t="shared" si="96"/>
        <v>8.7799999999999994</v>
      </c>
      <c r="AY282" s="256">
        <f t="shared" si="97"/>
        <v>0</v>
      </c>
      <c r="AZ282" s="275">
        <f>IF(C282="",0,(0.5*(_ML1*LPM)+0.5*(_ML1*HB)+0.66*(P*PR)+0.66*(_ML2*RDM)+0.66*(E*ER))*VLOOKUP(BATT,'Look Ups'!$U$3:$V$4,2,0))</f>
        <v>18.427232</v>
      </c>
      <c r="BA282" s="98"/>
      <c r="BB282" s="99"/>
      <c r="BC282" s="83">
        <v>7.46</v>
      </c>
      <c r="BD282" s="91">
        <v>2.1949999999999998</v>
      </c>
      <c r="BE282" s="91">
        <v>2.35</v>
      </c>
      <c r="BF282" s="91">
        <v>0.1</v>
      </c>
      <c r="BG282" s="91">
        <v>7.01</v>
      </c>
      <c r="BH282" s="91"/>
      <c r="BI282" s="91"/>
      <c r="BJ282" s="91">
        <v>-0.04</v>
      </c>
      <c r="BK282" s="91">
        <v>0</v>
      </c>
      <c r="BL282" s="97" t="s">
        <v>949</v>
      </c>
      <c r="BM282" s="275">
        <f t="shared" si="98"/>
        <v>8.1573859999999989</v>
      </c>
      <c r="BN282" s="319"/>
      <c r="BO282" s="320"/>
      <c r="BP282" s="321"/>
      <c r="BQ282" s="321"/>
      <c r="BR282" s="320"/>
      <c r="BS282" s="321"/>
      <c r="BT282" s="321"/>
      <c r="BU282" s="280">
        <f t="shared" si="99"/>
        <v>0</v>
      </c>
      <c r="BV282" s="322"/>
      <c r="BW282" s="320"/>
      <c r="BX282" s="320"/>
      <c r="BY282" s="320"/>
      <c r="BZ282" s="320"/>
      <c r="CA282" s="320"/>
      <c r="CB282" s="320"/>
      <c r="CC282" s="275">
        <f t="shared" si="100"/>
        <v>0</v>
      </c>
      <c r="CD282" s="98"/>
      <c r="CE282" s="91"/>
      <c r="CF282" s="91"/>
      <c r="CG282" s="91"/>
      <c r="CH282" s="266" t="str">
        <f t="shared" si="101"/>
        <v/>
      </c>
      <c r="CI282" s="320"/>
      <c r="CJ282" s="280">
        <f t="shared" si="102"/>
        <v>0</v>
      </c>
      <c r="CK282" s="83">
        <v>4.09</v>
      </c>
      <c r="CL282" s="91">
        <v>7.68</v>
      </c>
      <c r="CM282" s="91">
        <v>6.64</v>
      </c>
      <c r="CN282" s="91">
        <v>2.41</v>
      </c>
      <c r="CO282" s="256">
        <f t="shared" si="103"/>
        <v>58.924205378973113</v>
      </c>
      <c r="CP282" s="320"/>
      <c r="CQ282" s="256">
        <f t="shared" si="104"/>
        <v>16.384466666666668</v>
      </c>
      <c r="CR282" s="256" t="str">
        <f>IF(CO282&lt;'Look Ups'!$AC$4,"Yes","No")</f>
        <v>No</v>
      </c>
      <c r="CS282" s="293">
        <f>IF(CR282="Yes",MIN(150,('Look Ups'!$AC$4-PSCR)/('Look Ups'!$AC$4-'Look Ups'!$AC$3)*100),0)</f>
        <v>0</v>
      </c>
      <c r="CT282" s="83"/>
      <c r="CU282" s="91"/>
      <c r="CV282" s="91"/>
      <c r="CW282" s="91"/>
      <c r="CX282" s="256" t="str">
        <f t="shared" si="105"/>
        <v/>
      </c>
      <c r="CY282" s="293">
        <f>IF(PUSCR&lt;'Look Ups'!$AC$4,MIN(150,('Look Ups'!$AC$4-PUSCR)/('Look Ups'!$AC$4-'Look Ups'!$AC$3)*100),0)</f>
        <v>0</v>
      </c>
      <c r="CZ282" s="275">
        <f>IF(PUSCR&lt;'Look Ups'!$AC$4,USCRF*(USCRL1+USCRL2)/4+(USCRMG-USCRF/2)*(USCRL1+USCRL2)/3,0)</f>
        <v>0</v>
      </c>
      <c r="DA282" s="294">
        <f t="shared" si="106"/>
        <v>1</v>
      </c>
      <c r="DB282" s="256">
        <f t="shared" si="107"/>
        <v>18.427232</v>
      </c>
      <c r="DC282" s="256">
        <f t="shared" si="108"/>
        <v>1</v>
      </c>
      <c r="DD282" s="256">
        <f t="shared" si="109"/>
        <v>8.1573859999999989</v>
      </c>
      <c r="DE282" s="256">
        <f>IF(AZ282&gt;0,'Look Ups'!$S$3,0)</f>
        <v>1</v>
      </c>
      <c r="DF282" s="256">
        <f t="shared" si="110"/>
        <v>0</v>
      </c>
      <c r="DG282" s="256">
        <f t="shared" si="111"/>
        <v>0</v>
      </c>
      <c r="DH282" s="256">
        <f t="shared" si="112"/>
        <v>0</v>
      </c>
      <c r="DI282" s="280">
        <f t="shared" si="113"/>
        <v>0</v>
      </c>
      <c r="DJ282" s="295" t="str">
        <f t="shared" si="114"/>
        <v>valid</v>
      </c>
      <c r="DK282" s="266" t="str">
        <f t="shared" si="115"/>
        <v>-</v>
      </c>
      <c r="DL282" s="267" t="str">
        <f t="shared" si="116"/>
        <v>MGScr</v>
      </c>
      <c r="DM282" s="294">
        <f t="shared" si="117"/>
        <v>26.584617999999999</v>
      </c>
      <c r="DN282" s="256">
        <f>IF(MSASP&gt;0,'Look Ups'!$AI$4*(ZVAL*MSASP-RSAG),0)</f>
        <v>0</v>
      </c>
      <c r="DO282" s="256">
        <f>IF(AND(MSASC&gt;0,(MSASC&gt;=0.36*RSAM)),('Look Ups'!$AI$3*(ZVAL*MSASC-RSAG)),(0))</f>
        <v>2.8794782333333342</v>
      </c>
      <c r="DP282" s="256">
        <f>IF(MSASP&gt;0,'Look Ups'!$AI$5*(ZVAL*MSASP-RSAG),0)</f>
        <v>0</v>
      </c>
      <c r="DQ282" s="256">
        <f>IF(MSASC&gt;0,'Look Ups'!$AI$6*(MSASC-RSAG),0)</f>
        <v>0.57589564666666693</v>
      </c>
      <c r="DR282" s="280">
        <f>'Look Ups'!$AI$7*MAX(IF(MSAUSC&gt;0,EUSC/100*(MSAUSC-RSAG),0),IF(CR282="Yes",ELSC/100*(MSASC-RSAG),0))</f>
        <v>0</v>
      </c>
      <c r="DS282" s="280">
        <f t="shared" si="118"/>
        <v>6.6338035199999998</v>
      </c>
      <c r="DT282" s="296">
        <f t="shared" si="119"/>
        <v>29.464096233333333</v>
      </c>
      <c r="DU282" s="14"/>
    </row>
    <row r="283" spans="1:125" ht="15.6" customHeight="1" x14ac:dyDescent="0.3">
      <c r="A283" s="4"/>
      <c r="B283" s="365"/>
      <c r="C283" s="369" t="s">
        <v>950</v>
      </c>
      <c r="D283" s="370" t="s">
        <v>204</v>
      </c>
      <c r="E283" s="371" t="s">
        <v>951</v>
      </c>
      <c r="F283" s="252">
        <f t="shared" ca="1" si="90"/>
        <v>0.90200000000000002</v>
      </c>
      <c r="G283" s="252" t="str">
        <f ca="1">IF(OR(FLSCR="ERROR",FLSPI="ERROR"),"No",IF(TODAY()-'Look Ups'!$D$4*365&gt;I283,"WP Applied","Yes"))</f>
        <v>WP Applied</v>
      </c>
      <c r="H283" s="253" t="str">
        <f t="shared" si="91"/>
        <v>Main-Genoa-Spinnaker</v>
      </c>
      <c r="I283" s="1">
        <v>38731</v>
      </c>
      <c r="J283" s="1">
        <v>38970</v>
      </c>
      <c r="K283" s="87" t="s">
        <v>763</v>
      </c>
      <c r="L283" s="87" t="s">
        <v>763</v>
      </c>
      <c r="M283" s="207"/>
      <c r="N283" s="88" t="s">
        <v>318</v>
      </c>
      <c r="O283" s="88"/>
      <c r="P283" s="89"/>
      <c r="Q283" s="90">
        <v>9.1999999999999993</v>
      </c>
      <c r="R283" s="87"/>
      <c r="S283" s="256">
        <f t="shared" si="92"/>
        <v>0.22999999999999998</v>
      </c>
      <c r="T283" s="117">
        <v>0.1</v>
      </c>
      <c r="U283" s="117">
        <v>0</v>
      </c>
      <c r="V283" s="258">
        <f t="shared" si="93"/>
        <v>9.1</v>
      </c>
      <c r="W283" s="259">
        <f>IF(RL&gt;0,IF(RL&gt;'Look Ups'!Y$7,'Look Ups'!Y$8,('Look Ups'!Y$3*RL^3+'Look Ups'!Y$4*RL^2+'Look Ups'!Y$5*RL+'Look Ups'!Y$6)),0)</f>
        <v>0.29688384300000004</v>
      </c>
      <c r="X283" s="92">
        <v>2350</v>
      </c>
      <c r="Y283" s="263">
        <f ca="1">IF(WDATE&lt;(TODAY()-'Look Ups'!$D$4*365),-WM*'Look Ups'!$D$5/100,0)</f>
        <v>-352.5</v>
      </c>
      <c r="Z283" s="103"/>
      <c r="AA283" s="109"/>
      <c r="AB283" s="109"/>
      <c r="AC283" s="265">
        <f>WCD+NC*'Look Ups'!$AF$3</f>
        <v>0</v>
      </c>
      <c r="AD283" s="265">
        <f ca="1">IF(RL&lt;'Look Ups'!AM$3,'Look Ups'!AM$4,IF(RL&gt;'Look Ups'!AM$5,'Look Ups'!AM$6,(RL-'Look Ups'!AM$3)/('Look Ups'!AM$5-'Look Ups'!AM$3)*('Look Ups'!AM$6-'Look Ups'!AM$4)+'Look Ups'!AM$4))/100*WS</f>
        <v>424.92272727272729</v>
      </c>
      <c r="AE283" s="269">
        <f t="shared" ca="1" si="94"/>
        <v>1997.5</v>
      </c>
      <c r="AF283" s="267">
        <f t="shared" ca="1" si="95"/>
        <v>1997.5</v>
      </c>
      <c r="AG283" s="94" t="s">
        <v>145</v>
      </c>
      <c r="AH283" s="95" t="s">
        <v>146</v>
      </c>
      <c r="AI283" s="96" t="s">
        <v>147</v>
      </c>
      <c r="AJ283" s="218"/>
      <c r="AK283" s="273">
        <f>IF(C283="",0,VLOOKUP(AG283,'Look Ups'!$F$3:$G$6,2,0)*VLOOKUP(AH283,'Look Ups'!$I$3:$J$5,2,0)*VLOOKUP(AI283,'Look Ups'!$L$3:$M$7,2,0)*IF(AJ283="",1,VLOOKUP(AJ283,'Look Ups'!$O$3:$P$4,2,0)))</f>
        <v>1</v>
      </c>
      <c r="AL283" s="83">
        <v>13.23</v>
      </c>
      <c r="AM283" s="91">
        <v>13</v>
      </c>
      <c r="AN283" s="91">
        <v>4.37</v>
      </c>
      <c r="AO283" s="91">
        <v>0.9</v>
      </c>
      <c r="AP283" s="91">
        <v>0.77</v>
      </c>
      <c r="AQ283" s="91">
        <v>12.77</v>
      </c>
      <c r="AR283" s="91">
        <v>0.30000000000000004</v>
      </c>
      <c r="AS283" s="91">
        <v>4.57</v>
      </c>
      <c r="AT283" s="91">
        <v>0.02</v>
      </c>
      <c r="AU283" s="91">
        <v>0</v>
      </c>
      <c r="AV283" s="91" t="s">
        <v>148</v>
      </c>
      <c r="AW283" s="97">
        <v>0</v>
      </c>
      <c r="AX283" s="256">
        <f t="shared" si="96"/>
        <v>12.79</v>
      </c>
      <c r="AY283" s="256">
        <f t="shared" si="97"/>
        <v>0</v>
      </c>
      <c r="AZ283" s="275">
        <f>IF(C283="",0,(0.5*(_ML1*LPM)+0.5*(_ML1*HB)+0.66*(P*PR)+0.66*(_ML2*RDM)+0.66*(E*ER))*VLOOKUP(BATT,'Look Ups'!$U$3:$V$4,2,0))</f>
        <v>44.056434000000003</v>
      </c>
      <c r="BA283" s="98"/>
      <c r="BB283" s="99"/>
      <c r="BC283" s="83">
        <v>10.37</v>
      </c>
      <c r="BD283" s="91">
        <v>3.47</v>
      </c>
      <c r="BE283" s="91">
        <v>3.77</v>
      </c>
      <c r="BF283" s="91">
        <v>0.1</v>
      </c>
      <c r="BG283" s="91">
        <v>9.56</v>
      </c>
      <c r="BH283" s="91"/>
      <c r="BI283" s="91"/>
      <c r="BJ283" s="91">
        <v>-0.06</v>
      </c>
      <c r="BK283" s="91">
        <v>-0.1</v>
      </c>
      <c r="BL283" s="97">
        <v>0</v>
      </c>
      <c r="BM283" s="275">
        <f t="shared" si="98"/>
        <v>17.177773999999999</v>
      </c>
      <c r="BN283" s="319"/>
      <c r="BO283" s="320"/>
      <c r="BP283" s="321"/>
      <c r="BQ283" s="321"/>
      <c r="BR283" s="320"/>
      <c r="BS283" s="321"/>
      <c r="BT283" s="321"/>
      <c r="BU283" s="280">
        <f t="shared" si="99"/>
        <v>0</v>
      </c>
      <c r="BV283" s="322"/>
      <c r="BW283" s="320"/>
      <c r="BX283" s="320"/>
      <c r="BY283" s="320"/>
      <c r="BZ283" s="320"/>
      <c r="CA283" s="320"/>
      <c r="CB283" s="320"/>
      <c r="CC283" s="275">
        <f t="shared" si="100"/>
        <v>0</v>
      </c>
      <c r="CD283" s="98">
        <v>8.39</v>
      </c>
      <c r="CE283" s="91">
        <v>15.68</v>
      </c>
      <c r="CF283" s="91">
        <v>13.27</v>
      </c>
      <c r="CG283" s="91">
        <v>8.42</v>
      </c>
      <c r="CH283" s="266">
        <f t="shared" si="101"/>
        <v>100.357568533969</v>
      </c>
      <c r="CI283" s="320"/>
      <c r="CJ283" s="280">
        <f t="shared" si="102"/>
        <v>101.493875</v>
      </c>
      <c r="CK283" s="83"/>
      <c r="CL283" s="91">
        <v>0</v>
      </c>
      <c r="CM283" s="91">
        <v>0</v>
      </c>
      <c r="CN283" s="91">
        <v>0</v>
      </c>
      <c r="CO283" s="256" t="str">
        <f t="shared" si="103"/>
        <v/>
      </c>
      <c r="CP283" s="320"/>
      <c r="CQ283" s="256">
        <f t="shared" si="104"/>
        <v>0</v>
      </c>
      <c r="CR283" s="256" t="str">
        <f>IF(CO283&lt;'Look Ups'!$AC$4,"Yes","No")</f>
        <v>No</v>
      </c>
      <c r="CS283" s="293">
        <f>IF(CR283="Yes",MIN(150,('Look Ups'!$AC$4-PSCR)/('Look Ups'!$AC$4-'Look Ups'!$AC$3)*100),0)</f>
        <v>0</v>
      </c>
      <c r="CT283" s="83"/>
      <c r="CU283" s="91"/>
      <c r="CV283" s="91"/>
      <c r="CW283" s="91"/>
      <c r="CX283" s="256" t="str">
        <f t="shared" si="105"/>
        <v/>
      </c>
      <c r="CY283" s="293">
        <f>IF(PUSCR&lt;'Look Ups'!$AC$4,MIN(150,('Look Ups'!$AC$4-PUSCR)/('Look Ups'!$AC$4-'Look Ups'!$AC$3)*100),0)</f>
        <v>0</v>
      </c>
      <c r="CZ283" s="275">
        <f>IF(PUSCR&lt;'Look Ups'!$AC$4,USCRF*(USCRL1+USCRL2)/4+(USCRMG-USCRF/2)*(USCRL1+USCRL2)/3,0)</f>
        <v>0</v>
      </c>
      <c r="DA283" s="294">
        <f t="shared" si="106"/>
        <v>1</v>
      </c>
      <c r="DB283" s="256">
        <f t="shared" si="107"/>
        <v>44.056434000000003</v>
      </c>
      <c r="DC283" s="256">
        <f t="shared" si="108"/>
        <v>1</v>
      </c>
      <c r="DD283" s="256">
        <f t="shared" si="109"/>
        <v>17.177773999999999</v>
      </c>
      <c r="DE283" s="256">
        <f>IF(AZ283&gt;0,'Look Ups'!$S$3,0)</f>
        <v>1</v>
      </c>
      <c r="DF283" s="256">
        <f t="shared" si="110"/>
        <v>0</v>
      </c>
      <c r="DG283" s="256">
        <f t="shared" si="111"/>
        <v>0</v>
      </c>
      <c r="DH283" s="256">
        <f t="shared" si="112"/>
        <v>0</v>
      </c>
      <c r="DI283" s="280">
        <f t="shared" si="113"/>
        <v>0</v>
      </c>
      <c r="DJ283" s="295" t="str">
        <f t="shared" si="114"/>
        <v>-</v>
      </c>
      <c r="DK283" s="266" t="str">
        <f t="shared" si="115"/>
        <v>valid</v>
      </c>
      <c r="DL283" s="267" t="str">
        <f t="shared" si="116"/>
        <v>MGSP</v>
      </c>
      <c r="DM283" s="294">
        <f t="shared" si="117"/>
        <v>61.234208000000002</v>
      </c>
      <c r="DN283" s="256">
        <f>IF(MSASP&gt;0,'Look Ups'!$AI$4*(ZVAL*MSASP-RSAG),0)</f>
        <v>25.294830300000001</v>
      </c>
      <c r="DO283" s="256">
        <f>IF(AND(MSASC&gt;0,(MSASC&gt;=0.36*RSAM)),('Look Ups'!$AI$3*(ZVAL*MSASC-RSAG)),(0))</f>
        <v>0</v>
      </c>
      <c r="DP283" s="256">
        <f>IF(MSASP&gt;0,'Look Ups'!$AI$5*(ZVAL*MSASP-RSAG),0)</f>
        <v>23.608508280000002</v>
      </c>
      <c r="DQ283" s="256">
        <f>IF(MSASC&gt;0,'Look Ups'!$AI$6*(MSASC-RSAG),0)</f>
        <v>0</v>
      </c>
      <c r="DR283" s="280">
        <f>'Look Ups'!$AI$7*MAX(IF(MSAUSC&gt;0,EUSC/100*(MSAUSC-RSAG),0),IF(CR283="Yes",ELSC/100*(MSASC-RSAG),0))</f>
        <v>0</v>
      </c>
      <c r="DS283" s="280">
        <f t="shared" si="118"/>
        <v>15.860316240000001</v>
      </c>
      <c r="DT283" s="296">
        <f t="shared" si="119"/>
        <v>86.529038299999996</v>
      </c>
      <c r="DU283" s="14"/>
    </row>
    <row r="284" spans="1:125" ht="15.6" customHeight="1" x14ac:dyDescent="0.3">
      <c r="A284" s="4"/>
      <c r="B284" s="365"/>
      <c r="C284" s="369" t="s">
        <v>952</v>
      </c>
      <c r="D284" s="370" t="s">
        <v>850</v>
      </c>
      <c r="E284" s="371" t="s">
        <v>953</v>
      </c>
      <c r="F284" s="252">
        <f t="shared" ref="F284:F315" ca="1" si="120">IF(RW=0,0,ROUND(DLF*0.93*RL^LF*RSA^0.4/RW^0.325,3))</f>
        <v>0.96699999999999997</v>
      </c>
      <c r="G284" s="252" t="str">
        <f ca="1">IF(OR(FLSCR="ERROR",FLSPI="ERROR"),"No",IF(TODAY()-'Look Ups'!$D$4*365&gt;I284,"WP Applied","Yes"))</f>
        <v>WP Applied</v>
      </c>
      <c r="H284" s="253" t="str">
        <f t="shared" ref="H284:H315" si="121">IF(SPC="","",CONCATENATE("Main-Genoa",IF(FLSCR="valid",IF(OR(CR284="Yes",MSAUSC&gt;0),"-Screacher (Upwind)","-Screacher"),""),IF(FLSPI="valid","-Spinnaker",""),IF(RSAMZ&gt;0,"-Mizzen",""),IF(RSA2M&gt;0,"-Second Main",""),IF(AS&gt;0,"-Staysail",""),IF(AD&gt;0,"-Drifter","")))</f>
        <v>Main-Genoa-Screacher (Upwind)-Spinnaker</v>
      </c>
      <c r="I284" s="1">
        <v>40502</v>
      </c>
      <c r="J284" s="1">
        <v>40504</v>
      </c>
      <c r="K284" s="87" t="s">
        <v>365</v>
      </c>
      <c r="L284" s="87" t="s">
        <v>170</v>
      </c>
      <c r="M284" s="207"/>
      <c r="N284" s="88" t="s">
        <v>143</v>
      </c>
      <c r="O284" s="88" t="s">
        <v>144</v>
      </c>
      <c r="P284" s="89"/>
      <c r="Q284" s="90">
        <v>6.7</v>
      </c>
      <c r="R284" s="87"/>
      <c r="S284" s="256">
        <f t="shared" ref="S284:S315" si="122">IF((LOAA&gt;LOA),0.025*LOAA,0.025*LOA)</f>
        <v>0.16750000000000001</v>
      </c>
      <c r="T284" s="117">
        <v>0.62</v>
      </c>
      <c r="U284" s="117">
        <v>0</v>
      </c>
      <c r="V284" s="258">
        <f t="shared" ref="V284:V315" si="123">IF((_xlfn.SINGLE(LOAA)&gt;_xlfn.SINGLE(LOA)),_xlfn.SINGLE(LOAA),_xlfn.SINGLE(LOA)-_xlfn.SINGLE(FOC)-_xlfn.SINGLE(AOC))</f>
        <v>6.08</v>
      </c>
      <c r="W284" s="259">
        <f>IF(RL&gt;0,IF(RL&gt;'Look Ups'!Y$7,'Look Ups'!Y$8,('Look Ups'!Y$3*RL^3+'Look Ups'!Y$4*RL^2+'Look Ups'!Y$5*RL+'Look Ups'!Y$6)),0)</f>
        <v>0.28472397849600001</v>
      </c>
      <c r="X284" s="92">
        <v>493</v>
      </c>
      <c r="Y284" s="263">
        <f ca="1">IF(WDATE&lt;(TODAY()-'Look Ups'!$D$4*365),-WM*'Look Ups'!$D$5/100,0)</f>
        <v>-73.95</v>
      </c>
      <c r="Z284" s="103"/>
      <c r="AA284" s="109"/>
      <c r="AB284" s="109"/>
      <c r="AC284" s="265">
        <f>WCD+NC*'Look Ups'!$AF$3</f>
        <v>0</v>
      </c>
      <c r="AD284" s="265">
        <f ca="1">IF(RL&lt;'Look Ups'!AM$3,'Look Ups'!AM$4,IF(RL&gt;'Look Ups'!AM$5,'Look Ups'!AM$6,(RL-'Look Ups'!AM$3)/('Look Ups'!AM$5-'Look Ups'!AM$3)*('Look Ups'!AM$6-'Look Ups'!AM$4)+'Look Ups'!AM$4))/100*WS</f>
        <v>125.715</v>
      </c>
      <c r="AE284" s="269">
        <f t="shared" ref="AE284:AE315" ca="1" si="124">WM+WP+WE</f>
        <v>419.05</v>
      </c>
      <c r="AF284" s="267">
        <f t="shared" ref="AF284:AF315" ca="1" si="125">_xlfn.SINGLE(WS)+IF(_xlfn.SINGLE(TCW)&gt;=_xlfn.SINGLE(CWA),_xlfn.SINGLE(CWA),_xlfn.SINGLE(TCW))</f>
        <v>419.05</v>
      </c>
      <c r="AG284" s="94" t="s">
        <v>145</v>
      </c>
      <c r="AH284" s="95" t="s">
        <v>146</v>
      </c>
      <c r="AI284" s="96" t="s">
        <v>147</v>
      </c>
      <c r="AJ284" s="218"/>
      <c r="AK284" s="273">
        <f>IF(C284="",0,VLOOKUP(AG284,'Look Ups'!$F$3:$G$6,2,0)*VLOOKUP(AH284,'Look Ups'!$I$3:$J$5,2,0)*VLOOKUP(AI284,'Look Ups'!$L$3:$M$7,2,0)*IF(AJ284="",1,VLOOKUP(AJ284,'Look Ups'!$O$3:$P$4,2,0)))</f>
        <v>1</v>
      </c>
      <c r="AL284" s="83">
        <v>9.1300000000000008</v>
      </c>
      <c r="AM284" s="91">
        <v>8.9499999999999993</v>
      </c>
      <c r="AN284" s="91">
        <v>2.81</v>
      </c>
      <c r="AO284" s="91">
        <v>1.1400000000000001</v>
      </c>
      <c r="AP284" s="91">
        <v>0.46</v>
      </c>
      <c r="AQ284" s="91">
        <v>9.1300000000000008</v>
      </c>
      <c r="AR284" s="91">
        <v>0.11</v>
      </c>
      <c r="AS284" s="91">
        <v>2.84</v>
      </c>
      <c r="AT284" s="91">
        <v>0.04</v>
      </c>
      <c r="AU284" s="91">
        <v>0.47</v>
      </c>
      <c r="AV284" s="91" t="s">
        <v>148</v>
      </c>
      <c r="AW284" s="97">
        <v>0</v>
      </c>
      <c r="AX284" s="256">
        <f t="shared" ref="AX284:AX315" si="126">P+ER</f>
        <v>9.17</v>
      </c>
      <c r="AY284" s="256">
        <f t="shared" ref="AY284:AY315" si="127">P*0.375*MC</f>
        <v>1.6091625000000001</v>
      </c>
      <c r="AZ284" s="275">
        <f>IF(C284="",0,(0.5*(_ML1*LPM)+0.5*(_ML1*HB)+0.66*(P*PR)+0.66*(_ML2*RDM)+0.66*(E*ER))*VLOOKUP(BATT,'Look Ups'!$U$3:$V$4,2,0))</f>
        <v>21.486784000000004</v>
      </c>
      <c r="BA284" s="98"/>
      <c r="BB284" s="99"/>
      <c r="BC284" s="83">
        <v>8.39</v>
      </c>
      <c r="BD284" s="91">
        <v>1.9649999999999999</v>
      </c>
      <c r="BE284" s="91">
        <v>2.13</v>
      </c>
      <c r="BF284" s="91">
        <v>0.03</v>
      </c>
      <c r="BG284" s="91">
        <v>7.68</v>
      </c>
      <c r="BH284" s="91"/>
      <c r="BI284" s="91"/>
      <c r="BJ284" s="91">
        <v>0</v>
      </c>
      <c r="BK284" s="91">
        <v>0</v>
      </c>
      <c r="BL284" s="97">
        <v>0</v>
      </c>
      <c r="BM284" s="275">
        <f t="shared" ref="BM284:BM315" si="128">(0.5*LL*LPG)+(0.5*_LG1*HG)+(0.66*LL*LLRG)+(0.66*FG*FRG)+(IF((HG&gt;0),(0.66*_LG2*LRG),(0.66*_LG1*LRG)))</f>
        <v>8.2853490000000001</v>
      </c>
      <c r="BN284" s="319"/>
      <c r="BO284" s="320"/>
      <c r="BP284" s="321"/>
      <c r="BQ284" s="321"/>
      <c r="BR284" s="320"/>
      <c r="BS284" s="321"/>
      <c r="BT284" s="321"/>
      <c r="BU284" s="280">
        <f t="shared" ref="BU284:BU315" si="129">(0.5*LLS*LPS)+(0.66*LLS*LLRS)+(0.66*LS*LRS)+(0.66*FS*FRS)</f>
        <v>0</v>
      </c>
      <c r="BV284" s="322"/>
      <c r="BW284" s="320"/>
      <c r="BX284" s="320"/>
      <c r="BY284" s="320"/>
      <c r="BZ284" s="320"/>
      <c r="CA284" s="320"/>
      <c r="CB284" s="320"/>
      <c r="CC284" s="275">
        <f t="shared" ref="CC284:CC315" si="130">(0.5*LLD*LPD)+(0.66*LLD*LLRD)+(0.66*LCHD*LRD)+(0.66*FD*FRD)</f>
        <v>0</v>
      </c>
      <c r="CD284" s="98">
        <v>5.37</v>
      </c>
      <c r="CE284" s="91">
        <v>10.82</v>
      </c>
      <c r="CF284" s="91">
        <v>9.7200000000000006</v>
      </c>
      <c r="CG284" s="91">
        <v>4.47</v>
      </c>
      <c r="CH284" s="266">
        <f t="shared" ref="CH284:CH315" si="131">IF(SF&gt;0,SMG/SF*100,"")</f>
        <v>83.240223463687144</v>
      </c>
      <c r="CI284" s="320"/>
      <c r="CJ284" s="280">
        <f t="shared" ref="CJ284:CJ315" si="132">SF*(_SL1+_SL2)/4+(SMG-SF/2)*(_SL1+_SL2)/3</f>
        <v>39.796249999999993</v>
      </c>
      <c r="CK284" s="83">
        <v>4.1500000000000004</v>
      </c>
      <c r="CL284" s="91">
        <v>9.99</v>
      </c>
      <c r="CM284" s="91">
        <v>8.5299999999999994</v>
      </c>
      <c r="CN284" s="91">
        <v>2.14</v>
      </c>
      <c r="CO284" s="256">
        <f t="shared" ref="CO284:CO315" si="133">IF(SCRF&gt;0,SCRMG/SCRF*100,"")</f>
        <v>51.566265060240966</v>
      </c>
      <c r="CP284" s="320"/>
      <c r="CQ284" s="256">
        <f t="shared" ref="CQ284:CQ315" si="134">SCRF*(SCRL1+SCRL2)/4+(SCRMG-SCRF/2)*(SCRL1+SCRL2)/3</f>
        <v>19.615766666666666</v>
      </c>
      <c r="CR284" s="256" t="str">
        <f>IF(CO284&lt;'Look Ups'!$AC$4,"Yes","No")</f>
        <v>Yes</v>
      </c>
      <c r="CS284" s="293">
        <f>IF(CR284="Yes",MIN(150,('Look Ups'!$AC$4-PSCR)/('Look Ups'!$AC$4-'Look Ups'!$AC$3)*100),0)</f>
        <v>8.6746987951806886</v>
      </c>
      <c r="CT284" s="83"/>
      <c r="CU284" s="91"/>
      <c r="CV284" s="91"/>
      <c r="CW284" s="91"/>
      <c r="CX284" s="256" t="str">
        <f t="shared" ref="CX284:CX315" si="135">IF(USCRF&gt;0,USCRMG/USCRF*100,"")</f>
        <v/>
      </c>
      <c r="CY284" s="293">
        <f>IF(PUSCR&lt;'Look Ups'!$AC$4,MIN(150,('Look Ups'!$AC$4-PUSCR)/('Look Ups'!$AC$4-'Look Ups'!$AC$3)*100),0)</f>
        <v>0</v>
      </c>
      <c r="CZ284" s="275">
        <f>IF(PUSCR&lt;'Look Ups'!$AC$4,USCRF*(USCRL1+USCRL2)/4+(USCRMG-USCRF/2)*(USCRL1+USCRL2)/3,0)</f>
        <v>0</v>
      </c>
      <c r="DA284" s="294">
        <f t="shared" ref="DA284:DA315" si="136">IF(ZVAL=1,1,IF(LPM&gt;0,0.64*((AM+MAM)/(E+(MC/2))^2)^0.3,0))</f>
        <v>1</v>
      </c>
      <c r="DB284" s="256">
        <f t="shared" ref="DB284:DB315" si="137">0.65*((AM+MAM)*EFM)+0.35*((AM+MAM)*ZVAL)</f>
        <v>23.095946500000004</v>
      </c>
      <c r="DC284" s="256">
        <f t="shared" ref="DC284:DC315" si="138">IF(ZVAL=1,1,IF(LPG&gt;0,0.72*(AG/(LPG^2))^0.3,0))</f>
        <v>1</v>
      </c>
      <c r="DD284" s="256">
        <f t="shared" ref="DD284:DD315" si="139">AG*EFG</f>
        <v>8.2853490000000001</v>
      </c>
      <c r="DE284" s="256">
        <f>IF(AZ284&gt;0,'Look Ups'!$S$3,0)</f>
        <v>1</v>
      </c>
      <c r="DF284" s="256">
        <f t="shared" ref="DF284:DF315" si="140">IF(LPS&gt;0,0.72*(AS/(LPS^2))^0.3,0)</f>
        <v>0</v>
      </c>
      <c r="DG284" s="256">
        <f t="shared" ref="DG284:DG315" si="141">EFS*AS</f>
        <v>0</v>
      </c>
      <c r="DH284" s="256">
        <f t="shared" ref="DH284:DH315" si="142">IF(LPD&gt;0,0.72*(AD/(LPD^2))^0.3,0)</f>
        <v>0</v>
      </c>
      <c r="DI284" s="280">
        <f t="shared" ref="DI284:DI315" si="143">IF((AD-AG)&gt;0,0.3*(AD-AG)*EFD,0)</f>
        <v>0</v>
      </c>
      <c r="DJ284" s="295" t="str">
        <f t="shared" ref="DJ284:DJ315" si="144">IF((SCRF=0),"-",IF(AND(MSASC&gt;AG,SCRMG&lt;(0.75*SCRF)),"valid","ERROR"))</f>
        <v>valid</v>
      </c>
      <c r="DK284" s="266" t="str">
        <f t="shared" ref="DK284:DK315" si="145">IF((SF=0),"-",IF((SMG&lt;(0.75*SF)),"ERROR",IF(AND(MSASP&gt;MSASC,MSASP&gt;AG,MSASP&gt;=0.36*RSAM),"valid","Small")))</f>
        <v>valid</v>
      </c>
      <c r="DL284" s="267" t="str">
        <f t="shared" ref="DL284:DL315" si="146">IF(C284="","",CONCATENATE("MG",IF(FLSCR="valid","Scr",""),IF(FLSPI="valid","SP","")))</f>
        <v>MGScrSP</v>
      </c>
      <c r="DM284" s="294">
        <f t="shared" ref="DM284:DM315" si="147">RSAM+RSAG</f>
        <v>31.381295500000004</v>
      </c>
      <c r="DN284" s="256">
        <f>IF(MSASP&gt;0,'Look Ups'!$AI$4*(ZVAL*MSASP-RSAG),0)</f>
        <v>9.453270299999998</v>
      </c>
      <c r="DO284" s="256">
        <f>IF(AND(MSASC&gt;0,(MSASC&gt;=0.36*RSAM)),('Look Ups'!$AI$3*(ZVAL*MSASC-RSAG)),(0))</f>
        <v>3.9656461833333325</v>
      </c>
      <c r="DP284" s="256">
        <f>IF(MSASP&gt;0,'Look Ups'!$AI$5*(ZVAL*MSASP-RSAG),0)</f>
        <v>8.8230522799999989</v>
      </c>
      <c r="DQ284" s="256">
        <f>IF(MSASC&gt;0,'Look Ups'!$AI$6*(MSASC-RSAG),0)</f>
        <v>0.79312923666666668</v>
      </c>
      <c r="DR284" s="280">
        <f>'Look Ups'!$AI$7*MAX(IF(MSAUSC&gt;0,EUSC/100*(MSAUSC-RSAG),0),IF(CR284="Yes",ELSC/100*(MSASC-RSAG),0))</f>
        <v>0.24571990120481826</v>
      </c>
      <c r="DS284" s="280">
        <f t="shared" ref="DS284:DS315" si="148">0.36*RSAM</f>
        <v>8.3145407400000018</v>
      </c>
      <c r="DT284" s="296">
        <f t="shared" ref="DT284:DT315" si="149">_xlfn.IFS(SPC="MG",RAMG+DS284,SPC="MGScr",RAMG+RASCO,SPC="MGSp",RAMG+RASPO,SPC="MGScrSp",RAMG+RASPSC+RASCR)+RAUSC+RSAST+RSAD+RSAMZ+RSA2M</f>
        <v>41.243196917871487</v>
      </c>
      <c r="DU284" s="14"/>
    </row>
    <row r="285" spans="1:125" ht="15.6" customHeight="1" x14ac:dyDescent="0.3">
      <c r="A285" s="4"/>
      <c r="B285" s="365"/>
      <c r="C285" s="369" t="s">
        <v>954</v>
      </c>
      <c r="D285" s="370" t="s">
        <v>955</v>
      </c>
      <c r="E285" s="371" t="s">
        <v>956</v>
      </c>
      <c r="F285" s="252">
        <f t="shared" ca="1" si="120"/>
        <v>0.89400000000000002</v>
      </c>
      <c r="G285" s="252" t="str">
        <f ca="1">IF(OR(FLSCR="ERROR",FLSPI="ERROR"),"No",IF(TODAY()-'Look Ups'!$D$4*365&gt;I285,"WP Applied","Yes"))</f>
        <v>WP Applied</v>
      </c>
      <c r="H285" s="253" t="str">
        <f t="shared" si="121"/>
        <v>Main-Genoa-Spinnaker</v>
      </c>
      <c r="I285" s="1">
        <v>41207</v>
      </c>
      <c r="J285" s="1">
        <v>41230</v>
      </c>
      <c r="K285" s="87" t="s">
        <v>451</v>
      </c>
      <c r="L285" s="87" t="s">
        <v>159</v>
      </c>
      <c r="M285" s="207"/>
      <c r="N285" s="88" t="s">
        <v>143</v>
      </c>
      <c r="O285" s="88" t="s">
        <v>154</v>
      </c>
      <c r="P285" s="89"/>
      <c r="Q285" s="90">
        <v>7.32</v>
      </c>
      <c r="R285" s="87"/>
      <c r="S285" s="256">
        <f t="shared" si="122"/>
        <v>0.18300000000000002</v>
      </c>
      <c r="T285" s="117">
        <v>0.06</v>
      </c>
      <c r="U285" s="117">
        <v>0</v>
      </c>
      <c r="V285" s="258">
        <f t="shared" si="123"/>
        <v>7.2600000000000007</v>
      </c>
      <c r="W285" s="259">
        <f>IF(RL&gt;0,IF(RL&gt;'Look Ups'!Y$7,'Look Ups'!Y$8,('Look Ups'!Y$3*RL^3+'Look Ups'!Y$4*RL^2+'Look Ups'!Y$5*RL+'Look Ups'!Y$6)),0)</f>
        <v>0.290907046808</v>
      </c>
      <c r="X285" s="92">
        <v>980</v>
      </c>
      <c r="Y285" s="263">
        <f ca="1">IF(WDATE&lt;(TODAY()-'Look Ups'!$D$4*365),-WM*'Look Ups'!$D$5/100,0)</f>
        <v>-147</v>
      </c>
      <c r="Z285" s="103"/>
      <c r="AA285" s="109"/>
      <c r="AB285" s="109"/>
      <c r="AC285" s="265">
        <f>WCD+NC*'Look Ups'!$AF$3</f>
        <v>0</v>
      </c>
      <c r="AD285" s="265">
        <f ca="1">IF(RL&lt;'Look Ups'!AM$3,'Look Ups'!AM$4,IF(RL&gt;'Look Ups'!AM$5,'Look Ups'!AM$6,(RL-'Look Ups'!AM$3)/('Look Ups'!AM$5-'Look Ups'!AM$3)*('Look Ups'!AM$6-'Look Ups'!AM$4)+'Look Ups'!AM$4))/100*WS</f>
        <v>232.9370909090909</v>
      </c>
      <c r="AE285" s="269">
        <f t="shared" ca="1" si="124"/>
        <v>833</v>
      </c>
      <c r="AF285" s="267">
        <f t="shared" ca="1" si="125"/>
        <v>833</v>
      </c>
      <c r="AG285" s="94" t="s">
        <v>145</v>
      </c>
      <c r="AH285" s="95" t="s">
        <v>146</v>
      </c>
      <c r="AI285" s="96" t="s">
        <v>147</v>
      </c>
      <c r="AJ285" s="218"/>
      <c r="AK285" s="273">
        <f>IF(C285="",0,VLOOKUP(AG285,'Look Ups'!$F$3:$G$6,2,0)*VLOOKUP(AH285,'Look Ups'!$I$3:$J$5,2,0)*VLOOKUP(AI285,'Look Ups'!$L$3:$M$7,2,0)*IF(AJ285="",1,VLOOKUP(AJ285,'Look Ups'!$O$3:$P$4,2,0)))</f>
        <v>1</v>
      </c>
      <c r="AL285" s="83">
        <v>10.050000000000001</v>
      </c>
      <c r="AM285" s="91">
        <v>9.8699999999999992</v>
      </c>
      <c r="AN285" s="91">
        <v>3.08</v>
      </c>
      <c r="AO285" s="91">
        <v>1.17</v>
      </c>
      <c r="AP285" s="91">
        <v>0.30000000000000004</v>
      </c>
      <c r="AQ285" s="91">
        <v>9.64</v>
      </c>
      <c r="AR285" s="91">
        <v>7.0000000000000007E-2</v>
      </c>
      <c r="AS285" s="91">
        <v>3.24</v>
      </c>
      <c r="AT285" s="91">
        <v>0.05</v>
      </c>
      <c r="AU285" s="91">
        <v>0.49</v>
      </c>
      <c r="AV285" s="91" t="s">
        <v>148</v>
      </c>
      <c r="AW285" s="97">
        <v>0</v>
      </c>
      <c r="AX285" s="256">
        <f t="shared" si="126"/>
        <v>9.6900000000000013</v>
      </c>
      <c r="AY285" s="256">
        <f t="shared" si="127"/>
        <v>1.77135</v>
      </c>
      <c r="AZ285" s="275">
        <f>IF(C285="",0,(0.5*(_ML1*LPM)+0.5*(_ML1*HB)+0.66*(P*PR)+0.66*(_ML2*RDM)+0.66*(E*ER))*VLOOKUP(BATT,'Look Ups'!$U$3:$V$4,2,0))</f>
        <v>23.862798000000002</v>
      </c>
      <c r="BA285" s="98"/>
      <c r="BB285" s="99"/>
      <c r="BC285" s="83">
        <v>8.92</v>
      </c>
      <c r="BD285" s="91">
        <v>2.73</v>
      </c>
      <c r="BE285" s="91">
        <v>2.95</v>
      </c>
      <c r="BF285" s="91">
        <v>0.11</v>
      </c>
      <c r="BG285" s="91">
        <v>7.66</v>
      </c>
      <c r="BH285" s="91"/>
      <c r="BI285" s="91"/>
      <c r="BJ285" s="91">
        <v>0.12</v>
      </c>
      <c r="BK285" s="91">
        <v>0</v>
      </c>
      <c r="BL285" s="97">
        <v>0</v>
      </c>
      <c r="BM285" s="275">
        <f t="shared" si="128"/>
        <v>12.996642</v>
      </c>
      <c r="BN285" s="319"/>
      <c r="BO285" s="320"/>
      <c r="BP285" s="321"/>
      <c r="BQ285" s="321"/>
      <c r="BR285" s="320"/>
      <c r="BS285" s="321"/>
      <c r="BT285" s="321"/>
      <c r="BU285" s="280">
        <f t="shared" si="129"/>
        <v>0</v>
      </c>
      <c r="BV285" s="322"/>
      <c r="BW285" s="320"/>
      <c r="BX285" s="320"/>
      <c r="BY285" s="320"/>
      <c r="BZ285" s="320"/>
      <c r="CA285" s="320"/>
      <c r="CB285" s="320"/>
      <c r="CC285" s="275">
        <f t="shared" si="130"/>
        <v>0</v>
      </c>
      <c r="CD285" s="98">
        <v>6.92</v>
      </c>
      <c r="CE285" s="91">
        <v>10.78</v>
      </c>
      <c r="CF285" s="91">
        <v>9.94</v>
      </c>
      <c r="CG285" s="91">
        <v>5.92</v>
      </c>
      <c r="CH285" s="266">
        <f t="shared" si="131"/>
        <v>85.549132947976886</v>
      </c>
      <c r="CI285" s="320"/>
      <c r="CJ285" s="280">
        <f t="shared" si="132"/>
        <v>52.835999999999999</v>
      </c>
      <c r="CK285" s="83"/>
      <c r="CL285" s="91"/>
      <c r="CM285" s="91"/>
      <c r="CN285" s="91"/>
      <c r="CO285" s="256" t="str">
        <f t="shared" si="133"/>
        <v/>
      </c>
      <c r="CP285" s="320"/>
      <c r="CQ285" s="256">
        <f t="shared" si="134"/>
        <v>0</v>
      </c>
      <c r="CR285" s="256" t="str">
        <f>IF(CO285&lt;'Look Ups'!$AC$4,"Yes","No")</f>
        <v>No</v>
      </c>
      <c r="CS285" s="293">
        <f>IF(CR285="Yes",MIN(150,('Look Ups'!$AC$4-PSCR)/('Look Ups'!$AC$4-'Look Ups'!$AC$3)*100),0)</f>
        <v>0</v>
      </c>
      <c r="CT285" s="83"/>
      <c r="CU285" s="91"/>
      <c r="CV285" s="91"/>
      <c r="CW285" s="91"/>
      <c r="CX285" s="256" t="str">
        <f t="shared" si="135"/>
        <v/>
      </c>
      <c r="CY285" s="293">
        <f>IF(PUSCR&lt;'Look Ups'!$AC$4,MIN(150,('Look Ups'!$AC$4-PUSCR)/('Look Ups'!$AC$4-'Look Ups'!$AC$3)*100),0)</f>
        <v>0</v>
      </c>
      <c r="CZ285" s="275">
        <f>IF(PUSCR&lt;'Look Ups'!$AC$4,USCRF*(USCRL1+USCRL2)/4+(USCRMG-USCRF/2)*(USCRL1+USCRL2)/3,0)</f>
        <v>0</v>
      </c>
      <c r="DA285" s="294">
        <f t="shared" si="136"/>
        <v>1</v>
      </c>
      <c r="DB285" s="256">
        <f t="shared" si="137"/>
        <v>25.634148000000003</v>
      </c>
      <c r="DC285" s="256">
        <f t="shared" si="138"/>
        <v>1</v>
      </c>
      <c r="DD285" s="256">
        <f t="shared" si="139"/>
        <v>12.996642</v>
      </c>
      <c r="DE285" s="256">
        <f>IF(AZ285&gt;0,'Look Ups'!$S$3,0)</f>
        <v>1</v>
      </c>
      <c r="DF285" s="256">
        <f t="shared" si="140"/>
        <v>0</v>
      </c>
      <c r="DG285" s="256">
        <f t="shared" si="141"/>
        <v>0</v>
      </c>
      <c r="DH285" s="256">
        <f t="shared" si="142"/>
        <v>0</v>
      </c>
      <c r="DI285" s="280">
        <f t="shared" si="143"/>
        <v>0</v>
      </c>
      <c r="DJ285" s="295" t="str">
        <f t="shared" si="144"/>
        <v>-</v>
      </c>
      <c r="DK285" s="266" t="str">
        <f t="shared" si="145"/>
        <v>valid</v>
      </c>
      <c r="DL285" s="267" t="str">
        <f t="shared" si="146"/>
        <v>MGSP</v>
      </c>
      <c r="DM285" s="294">
        <f t="shared" si="147"/>
        <v>38.630790000000005</v>
      </c>
      <c r="DN285" s="256">
        <f>IF(MSASP&gt;0,'Look Ups'!$AI$4*(ZVAL*MSASP-RSAG),0)</f>
        <v>11.951807399999998</v>
      </c>
      <c r="DO285" s="256">
        <f>IF(AND(MSASC&gt;0,(MSASC&gt;=0.36*RSAM)),('Look Ups'!$AI$3*(ZVAL*MSASC-RSAG)),(0))</f>
        <v>0</v>
      </c>
      <c r="DP285" s="256">
        <f>IF(MSASP&gt;0,'Look Ups'!$AI$5*(ZVAL*MSASP-RSAG),0)</f>
        <v>11.155020240000001</v>
      </c>
      <c r="DQ285" s="256">
        <f>IF(MSASC&gt;0,'Look Ups'!$AI$6*(MSASC-RSAG),0)</f>
        <v>0</v>
      </c>
      <c r="DR285" s="280">
        <f>'Look Ups'!$AI$7*MAX(IF(MSAUSC&gt;0,EUSC/100*(MSAUSC-RSAG),0),IF(CR285="Yes",ELSC/100*(MSASC-RSAG),0))</f>
        <v>0</v>
      </c>
      <c r="DS285" s="280">
        <f t="shared" si="148"/>
        <v>9.2282932800000008</v>
      </c>
      <c r="DT285" s="296">
        <f t="shared" si="149"/>
        <v>50.582597400000004</v>
      </c>
      <c r="DU285" s="14"/>
    </row>
    <row r="286" spans="1:125" ht="15.6" customHeight="1" x14ac:dyDescent="0.3">
      <c r="A286" s="4"/>
      <c r="B286" s="365"/>
      <c r="C286" s="369" t="s">
        <v>957</v>
      </c>
      <c r="D286" s="370"/>
      <c r="E286" s="371" t="s">
        <v>958</v>
      </c>
      <c r="F286" s="252">
        <f t="shared" ca="1" si="120"/>
        <v>0.86099999999999999</v>
      </c>
      <c r="G286" s="252" t="str">
        <f ca="1">IF(OR(FLSCR="ERROR",FLSPI="ERROR"),"No",IF(TODAY()-'Look Ups'!$D$4*365&gt;I286,"WP Applied","Yes"))</f>
        <v>WP Applied</v>
      </c>
      <c r="H286" s="253" t="str">
        <f t="shared" si="121"/>
        <v>Main-Genoa-Spinnaker</v>
      </c>
      <c r="I286" s="1">
        <v>37333</v>
      </c>
      <c r="J286" s="1">
        <v>39525</v>
      </c>
      <c r="K286" s="87" t="s">
        <v>959</v>
      </c>
      <c r="L286" s="87" t="s">
        <v>182</v>
      </c>
      <c r="M286" s="207"/>
      <c r="N286" s="88" t="s">
        <v>165</v>
      </c>
      <c r="O286" s="88"/>
      <c r="P286" s="89"/>
      <c r="Q286" s="90">
        <v>12.97</v>
      </c>
      <c r="R286" s="87"/>
      <c r="S286" s="256">
        <f t="shared" si="122"/>
        <v>0.32425000000000004</v>
      </c>
      <c r="T286" s="117">
        <v>0.68</v>
      </c>
      <c r="U286" s="117">
        <v>0</v>
      </c>
      <c r="V286" s="258">
        <f t="shared" si="123"/>
        <v>12.290000000000001</v>
      </c>
      <c r="W286" s="259">
        <f>IF(RL&gt;0,IF(RL&gt;'Look Ups'!Y$7,'Look Ups'!Y$8,('Look Ups'!Y$3*RL^3+'Look Ups'!Y$4*RL^2+'Look Ups'!Y$5*RL+'Look Ups'!Y$6)),0)</f>
        <v>0.3</v>
      </c>
      <c r="X286" s="92">
        <v>6188</v>
      </c>
      <c r="Y286" s="263">
        <f ca="1">IF(WDATE&lt;(TODAY()-'Look Ups'!$D$4*365),-WM*'Look Ups'!$D$5/100,0)</f>
        <v>-928.2</v>
      </c>
      <c r="Z286" s="103"/>
      <c r="AA286" s="109"/>
      <c r="AB286" s="109"/>
      <c r="AC286" s="265">
        <f>WCD+NC*'Look Ups'!$AF$3</f>
        <v>0</v>
      </c>
      <c r="AD286" s="265">
        <f ca="1">IF(RL&lt;'Look Ups'!AM$3,'Look Ups'!AM$4,IF(RL&gt;'Look Ups'!AM$5,'Look Ups'!AM$6,(RL-'Look Ups'!AM$3)/('Look Ups'!AM$5-'Look Ups'!AM$3)*('Look Ups'!AM$6-'Look Ups'!AM$4)+'Look Ups'!AM$4))/100*WS</f>
        <v>525.98</v>
      </c>
      <c r="AE286" s="269">
        <f t="shared" ca="1" si="124"/>
        <v>5259.8</v>
      </c>
      <c r="AF286" s="267">
        <f t="shared" ca="1" si="125"/>
        <v>5259.8</v>
      </c>
      <c r="AG286" s="94" t="s">
        <v>145</v>
      </c>
      <c r="AH286" s="95" t="s">
        <v>146</v>
      </c>
      <c r="AI286" s="96" t="s">
        <v>177</v>
      </c>
      <c r="AJ286" s="218"/>
      <c r="AK286" s="273">
        <f>IF(C286="",0,VLOOKUP(AG286,'Look Ups'!$F$3:$G$6,2,0)*VLOOKUP(AH286,'Look Ups'!$I$3:$J$5,2,0)*VLOOKUP(AI286,'Look Ups'!$L$3:$M$7,2,0)*IF(AJ286="",1,VLOOKUP(AJ286,'Look Ups'!$O$3:$P$4,2,0)))</f>
        <v>0.99</v>
      </c>
      <c r="AL286" s="83">
        <v>16.100000000000001</v>
      </c>
      <c r="AM286" s="91">
        <v>16.079999999999998</v>
      </c>
      <c r="AN286" s="91">
        <v>5.13</v>
      </c>
      <c r="AO286" s="91">
        <v>1.05</v>
      </c>
      <c r="AP286" s="91">
        <v>1.5</v>
      </c>
      <c r="AQ286" s="91">
        <v>15.45</v>
      </c>
      <c r="AR286" s="91">
        <v>0.13</v>
      </c>
      <c r="AS286" s="91">
        <v>5.5</v>
      </c>
      <c r="AT286" s="91">
        <v>0.05</v>
      </c>
      <c r="AU286" s="91">
        <v>0.7</v>
      </c>
      <c r="AV286" s="91" t="s">
        <v>148</v>
      </c>
      <c r="AW286" s="97"/>
      <c r="AX286" s="256">
        <f t="shared" si="126"/>
        <v>15.5</v>
      </c>
      <c r="AY286" s="256">
        <f t="shared" si="127"/>
        <v>4.0556249999999991</v>
      </c>
      <c r="AZ286" s="275">
        <f>IF(C286="",0,(0.5*(_ML1*LPM)+0.5*(_ML1*HB)+0.66*(P*PR)+0.66*(_ML2*RDM)+0.66*(E*ER))*VLOOKUP(BATT,'Look Ups'!$U$3:$V$4,2,0))</f>
        <v>67.175309999999996</v>
      </c>
      <c r="BA286" s="98"/>
      <c r="BB286" s="99"/>
      <c r="BC286" s="83">
        <v>14.7</v>
      </c>
      <c r="BD286" s="91">
        <v>4.9800000000000004</v>
      </c>
      <c r="BE286" s="91">
        <v>5.4</v>
      </c>
      <c r="BF286" s="91">
        <v>0.08</v>
      </c>
      <c r="BG286" s="91">
        <v>13.5</v>
      </c>
      <c r="BH286" s="91"/>
      <c r="BI286" s="91"/>
      <c r="BJ286" s="91">
        <v>-0.42</v>
      </c>
      <c r="BK286" s="91">
        <v>-0.22</v>
      </c>
      <c r="BL286" s="97" t="s">
        <v>446</v>
      </c>
      <c r="BM286" s="275">
        <f t="shared" si="128"/>
        <v>31.011480000000002</v>
      </c>
      <c r="BN286" s="319"/>
      <c r="BO286" s="320"/>
      <c r="BP286" s="321"/>
      <c r="BQ286" s="321"/>
      <c r="BR286" s="320"/>
      <c r="BS286" s="321"/>
      <c r="BT286" s="321"/>
      <c r="BU286" s="280">
        <f t="shared" si="129"/>
        <v>0</v>
      </c>
      <c r="BV286" s="322"/>
      <c r="BW286" s="320"/>
      <c r="BX286" s="320"/>
      <c r="BY286" s="320"/>
      <c r="BZ286" s="320"/>
      <c r="CA286" s="320"/>
      <c r="CB286" s="320"/>
      <c r="CC286" s="275">
        <f t="shared" si="130"/>
        <v>0</v>
      </c>
      <c r="CD286" s="98">
        <v>11.94</v>
      </c>
      <c r="CE286" s="91">
        <v>16.7</v>
      </c>
      <c r="CF286" s="91">
        <v>15.63</v>
      </c>
      <c r="CG286" s="91">
        <v>10.27</v>
      </c>
      <c r="CH286" s="266">
        <f t="shared" si="131"/>
        <v>86.01340033500837</v>
      </c>
      <c r="CI286" s="320"/>
      <c r="CJ286" s="280">
        <f t="shared" si="132"/>
        <v>142.84471666666667</v>
      </c>
      <c r="CK286" s="83"/>
      <c r="CL286" s="91"/>
      <c r="CM286" s="91"/>
      <c r="CN286" s="91"/>
      <c r="CO286" s="256" t="str">
        <f t="shared" si="133"/>
        <v/>
      </c>
      <c r="CP286" s="320"/>
      <c r="CQ286" s="256">
        <f t="shared" si="134"/>
        <v>0</v>
      </c>
      <c r="CR286" s="256" t="str">
        <f>IF(CO286&lt;'Look Ups'!$AC$4,"Yes","No")</f>
        <v>No</v>
      </c>
      <c r="CS286" s="293">
        <f>IF(CR286="Yes",MIN(150,('Look Ups'!$AC$4-PSCR)/('Look Ups'!$AC$4-'Look Ups'!$AC$3)*100),0)</f>
        <v>0</v>
      </c>
      <c r="CT286" s="83"/>
      <c r="CU286" s="91"/>
      <c r="CV286" s="91"/>
      <c r="CW286" s="91"/>
      <c r="CX286" s="256" t="str">
        <f t="shared" si="135"/>
        <v/>
      </c>
      <c r="CY286" s="293">
        <f>IF(PUSCR&lt;'Look Ups'!$AC$4,MIN(150,('Look Ups'!$AC$4-PUSCR)/('Look Ups'!$AC$4-'Look Ups'!$AC$3)*100),0)</f>
        <v>0</v>
      </c>
      <c r="CZ286" s="275">
        <f>IF(PUSCR&lt;'Look Ups'!$AC$4,USCRF*(USCRL1+USCRL2)/4+(USCRMG-USCRF/2)*(USCRL1+USCRL2)/3,0)</f>
        <v>0</v>
      </c>
      <c r="DA286" s="294">
        <f t="shared" si="136"/>
        <v>1</v>
      </c>
      <c r="DB286" s="256">
        <f t="shared" si="137"/>
        <v>71.230934999999988</v>
      </c>
      <c r="DC286" s="256">
        <f t="shared" si="138"/>
        <v>1</v>
      </c>
      <c r="DD286" s="256">
        <f t="shared" si="139"/>
        <v>31.011480000000002</v>
      </c>
      <c r="DE286" s="256">
        <f>IF(AZ286&gt;0,'Look Ups'!$S$3,0)</f>
        <v>1</v>
      </c>
      <c r="DF286" s="256">
        <f t="shared" si="140"/>
        <v>0</v>
      </c>
      <c r="DG286" s="256">
        <f t="shared" si="141"/>
        <v>0</v>
      </c>
      <c r="DH286" s="256">
        <f t="shared" si="142"/>
        <v>0</v>
      </c>
      <c r="DI286" s="280">
        <f t="shared" si="143"/>
        <v>0</v>
      </c>
      <c r="DJ286" s="295" t="str">
        <f t="shared" si="144"/>
        <v>-</v>
      </c>
      <c r="DK286" s="266" t="str">
        <f t="shared" si="145"/>
        <v>valid</v>
      </c>
      <c r="DL286" s="267" t="str">
        <f t="shared" si="146"/>
        <v>MGSP</v>
      </c>
      <c r="DM286" s="294">
        <f t="shared" si="147"/>
        <v>102.24241499999999</v>
      </c>
      <c r="DN286" s="256">
        <f>IF(MSASP&gt;0,'Look Ups'!$AI$4*(ZVAL*MSASP-RSAG),0)</f>
        <v>33.549970999999999</v>
      </c>
      <c r="DO286" s="256">
        <f>IF(AND(MSASC&gt;0,(MSASC&gt;=0.36*RSAM)),('Look Ups'!$AI$3*(ZVAL*MSASC-RSAG)),(0))</f>
        <v>0</v>
      </c>
      <c r="DP286" s="256">
        <f>IF(MSASP&gt;0,'Look Ups'!$AI$5*(ZVAL*MSASP-RSAG),0)</f>
        <v>31.313306266666668</v>
      </c>
      <c r="DQ286" s="256">
        <f>IF(MSASC&gt;0,'Look Ups'!$AI$6*(MSASC-RSAG),0)</f>
        <v>0</v>
      </c>
      <c r="DR286" s="280">
        <f>'Look Ups'!$AI$7*MAX(IF(MSAUSC&gt;0,EUSC/100*(MSAUSC-RSAG),0),IF(CR286="Yes",ELSC/100*(MSASC-RSAG),0))</f>
        <v>0</v>
      </c>
      <c r="DS286" s="280">
        <f t="shared" si="148"/>
        <v>25.643136599999995</v>
      </c>
      <c r="DT286" s="296">
        <f t="shared" si="149"/>
        <v>135.79238599999999</v>
      </c>
      <c r="DU286" s="14"/>
    </row>
    <row r="287" spans="1:125" ht="15.6" customHeight="1" x14ac:dyDescent="0.3">
      <c r="A287" s="4"/>
      <c r="B287" s="365"/>
      <c r="C287" s="369" t="s">
        <v>960</v>
      </c>
      <c r="D287" s="370" t="s">
        <v>961</v>
      </c>
      <c r="E287" s="371" t="s">
        <v>962</v>
      </c>
      <c r="F287" s="252">
        <f t="shared" ca="1" si="120"/>
        <v>1.0640000000000001</v>
      </c>
      <c r="G287" s="252" t="str">
        <f ca="1">IF(OR(FLSCR="ERROR",FLSPI="ERROR"),"No",IF(TODAY()-'Look Ups'!$D$4*365&gt;I287,"WP Applied","Yes"))</f>
        <v>WP Applied</v>
      </c>
      <c r="H287" s="253" t="str">
        <f t="shared" si="121"/>
        <v>Main-Genoa-Screacher</v>
      </c>
      <c r="I287" s="1">
        <v>41343</v>
      </c>
      <c r="J287" s="1">
        <v>41494</v>
      </c>
      <c r="K287" s="87" t="s">
        <v>391</v>
      </c>
      <c r="L287" s="87" t="s">
        <v>159</v>
      </c>
      <c r="M287" s="207"/>
      <c r="N287" s="88" t="s">
        <v>165</v>
      </c>
      <c r="O287" s="88"/>
      <c r="P287" s="89">
        <v>11</v>
      </c>
      <c r="Q287" s="90"/>
      <c r="R287" s="87">
        <v>12.84</v>
      </c>
      <c r="S287" s="256">
        <f t="shared" si="122"/>
        <v>0.32100000000000001</v>
      </c>
      <c r="T287" s="117"/>
      <c r="U287" s="117">
        <v>0</v>
      </c>
      <c r="V287" s="258">
        <f t="shared" si="123"/>
        <v>12.84</v>
      </c>
      <c r="W287" s="259">
        <f>IF(RL&gt;0,IF(RL&gt;'Look Ups'!Y$7,'Look Ups'!Y$8,('Look Ups'!Y$3*RL^3+'Look Ups'!Y$4*RL^2+'Look Ups'!Y$5*RL+'Look Ups'!Y$6)),0)</f>
        <v>0.3</v>
      </c>
      <c r="X287" s="92">
        <v>3606</v>
      </c>
      <c r="Y287" s="263">
        <f ca="1">IF(WDATE&lt;(TODAY()-'Look Ups'!$D$4*365),-WM*'Look Ups'!$D$5/100,0)</f>
        <v>-540.9</v>
      </c>
      <c r="Z287" s="103"/>
      <c r="AA287" s="109"/>
      <c r="AB287" s="109"/>
      <c r="AC287" s="265">
        <f>WCD+NC*'Look Ups'!$AF$3</f>
        <v>0</v>
      </c>
      <c r="AD287" s="265">
        <f ca="1">IF(RL&lt;'Look Ups'!AM$3,'Look Ups'!AM$4,IF(RL&gt;'Look Ups'!AM$5,'Look Ups'!AM$6,(RL-'Look Ups'!AM$3)/('Look Ups'!AM$5-'Look Ups'!AM$3)*('Look Ups'!AM$6-'Look Ups'!AM$4)+'Look Ups'!AM$4))/100*WS</f>
        <v>306.51</v>
      </c>
      <c r="AE287" s="269">
        <f t="shared" ca="1" si="124"/>
        <v>3065.1</v>
      </c>
      <c r="AF287" s="267">
        <f t="shared" ca="1" si="125"/>
        <v>3065.1</v>
      </c>
      <c r="AG287" s="94" t="s">
        <v>145</v>
      </c>
      <c r="AH287" s="95" t="s">
        <v>146</v>
      </c>
      <c r="AI287" s="96" t="s">
        <v>187</v>
      </c>
      <c r="AJ287" s="218"/>
      <c r="AK287" s="273">
        <f>IF(C287="",0,VLOOKUP(AG287,'Look Ups'!$F$3:$G$6,2,0)*VLOOKUP(AH287,'Look Ups'!$I$3:$J$5,2,0)*VLOOKUP(AI287,'Look Ups'!$L$3:$M$7,2,0)*IF(AJ287="",1,VLOOKUP(AJ287,'Look Ups'!$O$3:$P$4,2,0)))</f>
        <v>0.995</v>
      </c>
      <c r="AL287" s="83">
        <v>17.82</v>
      </c>
      <c r="AM287" s="91">
        <v>17.614999999999998</v>
      </c>
      <c r="AN287" s="91">
        <v>4.55</v>
      </c>
      <c r="AO287" s="91">
        <v>0.745</v>
      </c>
      <c r="AP287" s="91">
        <v>1.482</v>
      </c>
      <c r="AQ287" s="91">
        <v>17.574999999999999</v>
      </c>
      <c r="AR287" s="91">
        <v>0.15</v>
      </c>
      <c r="AS287" s="91">
        <v>4.6139999999999999</v>
      </c>
      <c r="AT287" s="91"/>
      <c r="AU287" s="91">
        <v>0.98</v>
      </c>
      <c r="AV287" s="91" t="s">
        <v>148</v>
      </c>
      <c r="AW287" s="97">
        <v>0</v>
      </c>
      <c r="AX287" s="256">
        <f t="shared" si="126"/>
        <v>17.574999999999999</v>
      </c>
      <c r="AY287" s="256">
        <f t="shared" si="127"/>
        <v>6.4588124999999996</v>
      </c>
      <c r="AZ287" s="275">
        <f>IF(C287="",0,(0.5*(_ML1*LPM)+0.5*(_ML1*HB)+0.66*(P*PR)+0.66*(_ML2*RDM)+0.66*(E*ER))*VLOOKUP(BATT,'Look Ups'!$U$3:$V$4,2,0))</f>
        <v>66.147958799999998</v>
      </c>
      <c r="BA287" s="98"/>
      <c r="BB287" s="99"/>
      <c r="BC287" s="83">
        <v>17.05</v>
      </c>
      <c r="BD287" s="91">
        <v>4.5</v>
      </c>
      <c r="BE287" s="91">
        <v>4.6100000000000003</v>
      </c>
      <c r="BF287" s="91">
        <v>0.14000000000000001</v>
      </c>
      <c r="BG287" s="91">
        <v>15.768000000000001</v>
      </c>
      <c r="BH287" s="91"/>
      <c r="BI287" s="91"/>
      <c r="BJ287" s="91">
        <v>6.5000000000000002E-2</v>
      </c>
      <c r="BK287" s="91">
        <v>-0.27</v>
      </c>
      <c r="BL287" s="97">
        <v>0</v>
      </c>
      <c r="BM287" s="275">
        <f t="shared" si="128"/>
        <v>36.4266012</v>
      </c>
      <c r="BN287" s="319"/>
      <c r="BO287" s="320"/>
      <c r="BP287" s="321"/>
      <c r="BQ287" s="321"/>
      <c r="BR287" s="320"/>
      <c r="BS287" s="321"/>
      <c r="BT287" s="321"/>
      <c r="BU287" s="280">
        <f t="shared" si="129"/>
        <v>0</v>
      </c>
      <c r="BV287" s="322"/>
      <c r="BW287" s="320"/>
      <c r="BX287" s="320"/>
      <c r="BY287" s="320"/>
      <c r="BZ287" s="320"/>
      <c r="CA287" s="320"/>
      <c r="CB287" s="320"/>
      <c r="CC287" s="275">
        <f t="shared" si="130"/>
        <v>0</v>
      </c>
      <c r="CD287" s="98"/>
      <c r="CE287" s="91"/>
      <c r="CF287" s="91"/>
      <c r="CG287" s="91"/>
      <c r="CH287" s="266" t="str">
        <f t="shared" si="131"/>
        <v/>
      </c>
      <c r="CI287" s="320"/>
      <c r="CJ287" s="280">
        <f t="shared" si="132"/>
        <v>0</v>
      </c>
      <c r="CK287" s="83">
        <v>10.85</v>
      </c>
      <c r="CL287" s="91">
        <v>18.91</v>
      </c>
      <c r="CM287" s="91">
        <v>18.21</v>
      </c>
      <c r="CN287" s="91">
        <v>7.8550000000000004</v>
      </c>
      <c r="CO287" s="256">
        <f t="shared" si="133"/>
        <v>72.396313364055302</v>
      </c>
      <c r="CP287" s="320"/>
      <c r="CQ287" s="256">
        <f t="shared" si="134"/>
        <v>130.7552</v>
      </c>
      <c r="CR287" s="256" t="str">
        <f>IF(CO287&lt;'Look Ups'!$AC$4,"Yes","No")</f>
        <v>No</v>
      </c>
      <c r="CS287" s="293">
        <f>IF(CR287="Yes",MIN(150,('Look Ups'!$AC$4-PSCR)/('Look Ups'!$AC$4-'Look Ups'!$AC$3)*100),0)</f>
        <v>0</v>
      </c>
      <c r="CT287" s="83"/>
      <c r="CU287" s="91"/>
      <c r="CV287" s="91"/>
      <c r="CW287" s="91"/>
      <c r="CX287" s="256" t="str">
        <f t="shared" si="135"/>
        <v/>
      </c>
      <c r="CY287" s="293">
        <f>IF(PUSCR&lt;'Look Ups'!$AC$4,MIN(150,('Look Ups'!$AC$4-PUSCR)/('Look Ups'!$AC$4-'Look Ups'!$AC$3)*100),0)</f>
        <v>0</v>
      </c>
      <c r="CZ287" s="275">
        <f>IF(PUSCR&lt;'Look Ups'!$AC$4,USCRF*(USCRL1+USCRL2)/4+(USCRMG-USCRF/2)*(USCRL1+USCRL2)/3,0)</f>
        <v>0</v>
      </c>
      <c r="DA287" s="294">
        <f t="shared" si="136"/>
        <v>1</v>
      </c>
      <c r="DB287" s="256">
        <f t="shared" si="137"/>
        <v>72.606771299999991</v>
      </c>
      <c r="DC287" s="256">
        <f t="shared" si="138"/>
        <v>1</v>
      </c>
      <c r="DD287" s="256">
        <f t="shared" si="139"/>
        <v>36.4266012</v>
      </c>
      <c r="DE287" s="256">
        <f>IF(AZ287&gt;0,'Look Ups'!$S$3,0)</f>
        <v>1</v>
      </c>
      <c r="DF287" s="256">
        <f t="shared" si="140"/>
        <v>0</v>
      </c>
      <c r="DG287" s="256">
        <f t="shared" si="141"/>
        <v>0</v>
      </c>
      <c r="DH287" s="256">
        <f t="shared" si="142"/>
        <v>0</v>
      </c>
      <c r="DI287" s="280">
        <f t="shared" si="143"/>
        <v>0</v>
      </c>
      <c r="DJ287" s="295" t="str">
        <f t="shared" si="144"/>
        <v>valid</v>
      </c>
      <c r="DK287" s="266" t="str">
        <f t="shared" si="145"/>
        <v>-</v>
      </c>
      <c r="DL287" s="267" t="str">
        <f t="shared" si="146"/>
        <v>MGScr</v>
      </c>
      <c r="DM287" s="294">
        <f t="shared" si="147"/>
        <v>109.03337249999998</v>
      </c>
      <c r="DN287" s="256">
        <f>IF(MSASP&gt;0,'Look Ups'!$AI$4*(ZVAL*MSASP-RSAG),0)</f>
        <v>0</v>
      </c>
      <c r="DO287" s="256">
        <f>IF(AND(MSASC&gt;0,(MSASC&gt;=0.36*RSAM)),('Look Ups'!$AI$3*(ZVAL*MSASC-RSAG)),(0))</f>
        <v>33.015009580000005</v>
      </c>
      <c r="DP287" s="256">
        <f>IF(MSASP&gt;0,'Look Ups'!$AI$5*(ZVAL*MSASP-RSAG),0)</f>
        <v>0</v>
      </c>
      <c r="DQ287" s="256">
        <f>IF(MSASC&gt;0,'Look Ups'!$AI$6*(MSASC-RSAG),0)</f>
        <v>6.6030019160000011</v>
      </c>
      <c r="DR287" s="280">
        <f>'Look Ups'!$AI$7*MAX(IF(MSAUSC&gt;0,EUSC/100*(MSAUSC-RSAG),0),IF(CR287="Yes",ELSC/100*(MSASC-RSAG),0))</f>
        <v>0</v>
      </c>
      <c r="DS287" s="280">
        <f t="shared" si="148"/>
        <v>26.138437667999995</v>
      </c>
      <c r="DT287" s="296">
        <f t="shared" si="149"/>
        <v>142.04838207999998</v>
      </c>
      <c r="DU287" s="14"/>
    </row>
    <row r="288" spans="1:125" ht="15.6" customHeight="1" x14ac:dyDescent="0.3">
      <c r="A288" s="4"/>
      <c r="B288" s="365"/>
      <c r="C288" s="369" t="s">
        <v>485</v>
      </c>
      <c r="D288" s="372" t="s">
        <v>486</v>
      </c>
      <c r="E288" s="371" t="s">
        <v>487</v>
      </c>
      <c r="F288" s="252">
        <f t="shared" ca="1" si="120"/>
        <v>0.9</v>
      </c>
      <c r="G288" s="252" t="str">
        <f ca="1">IF(OR(FLSCR="ERROR",FLSPI="ERROR"),"No",IF(TODAY()-'Look Ups'!$D$4*365&gt;I288,"WP Applied","Yes"))</f>
        <v>WP Applied</v>
      </c>
      <c r="H288" s="253" t="str">
        <f t="shared" si="121"/>
        <v>Main-Genoa-Spinnaker</v>
      </c>
      <c r="I288" s="1">
        <v>38071</v>
      </c>
      <c r="J288" s="1">
        <v>43002</v>
      </c>
      <c r="K288" s="87" t="s">
        <v>488</v>
      </c>
      <c r="L288" s="87" t="s">
        <v>142</v>
      </c>
      <c r="M288" s="207"/>
      <c r="N288" s="88" t="s">
        <v>143</v>
      </c>
      <c r="O288" s="88"/>
      <c r="P288" s="89"/>
      <c r="Q288" s="90">
        <v>11.05</v>
      </c>
      <c r="R288" s="87"/>
      <c r="S288" s="256">
        <f t="shared" si="122"/>
        <v>0.27625000000000005</v>
      </c>
      <c r="T288" s="91">
        <v>0.2</v>
      </c>
      <c r="U288" s="91">
        <v>0</v>
      </c>
      <c r="V288" s="258">
        <f t="shared" si="123"/>
        <v>10.850000000000001</v>
      </c>
      <c r="W288" s="259">
        <f>IF(RL&gt;0,IF(RL&gt;'Look Ups'!Y$7,'Look Ups'!Y$8,('Look Ups'!Y$3*RL^3+'Look Ups'!Y$4*RL^2+'Look Ups'!Y$5*RL+'Look Ups'!Y$6)),0)</f>
        <v>0.29941404112500003</v>
      </c>
      <c r="X288" s="92">
        <v>3753</v>
      </c>
      <c r="Y288" s="263">
        <f ca="1">IF(WDATE&lt;(TODAY()-'Look Ups'!$D$4*365),-WM*'Look Ups'!$D$5/100,0)</f>
        <v>-562.95000000000005</v>
      </c>
      <c r="Z288" s="103"/>
      <c r="AA288" s="109"/>
      <c r="AB288" s="363"/>
      <c r="AC288" s="265">
        <f>WCD+NC*'Look Ups'!$AF$3</f>
        <v>0</v>
      </c>
      <c r="AD288" s="265">
        <f ca="1">IF(RL&lt;'Look Ups'!AM$3,'Look Ups'!AM$4,IF(RL&gt;'Look Ups'!AM$5,'Look Ups'!AM$6,(RL-'Look Ups'!AM$3)/('Look Ups'!AM$5-'Look Ups'!AM$3)*('Look Ups'!AM$6-'Look Ups'!AM$4)+'Look Ups'!AM$4))/100*WS</f>
        <v>475.60745454545435</v>
      </c>
      <c r="AE288" s="269">
        <f t="shared" ca="1" si="124"/>
        <v>3190.05</v>
      </c>
      <c r="AF288" s="267">
        <f t="shared" ca="1" si="125"/>
        <v>3190.05</v>
      </c>
      <c r="AG288" s="94" t="s">
        <v>145</v>
      </c>
      <c r="AH288" s="95" t="s">
        <v>146</v>
      </c>
      <c r="AI288" s="96" t="s">
        <v>147</v>
      </c>
      <c r="AJ288" s="218"/>
      <c r="AK288" s="273">
        <f>IF(C288="",0,VLOOKUP(AG288,'Look Ups'!$F$3:$G$6,2,0)*VLOOKUP(AH288,'Look Ups'!$I$3:$J$5,2,0)*VLOOKUP(AI288,'Look Ups'!$L$3:$M$7,2,0)*IF(AJ288="",1,VLOOKUP(AJ288,'Look Ups'!$O$3:$P$4,2,0)))</f>
        <v>1</v>
      </c>
      <c r="AL288" s="83">
        <v>13.92</v>
      </c>
      <c r="AM288" s="91">
        <v>13.4</v>
      </c>
      <c r="AN288" s="91">
        <v>4.66</v>
      </c>
      <c r="AO288" s="91">
        <v>1.59</v>
      </c>
      <c r="AP288" s="91">
        <v>0.51</v>
      </c>
      <c r="AQ288" s="91">
        <v>13.35</v>
      </c>
      <c r="AR288" s="91">
        <v>0.12</v>
      </c>
      <c r="AS288" s="91">
        <v>4.87</v>
      </c>
      <c r="AT288" s="91">
        <v>0.06</v>
      </c>
      <c r="AU288" s="91">
        <v>0.66</v>
      </c>
      <c r="AV288" s="91" t="s">
        <v>148</v>
      </c>
      <c r="AW288" s="97">
        <v>0</v>
      </c>
      <c r="AX288" s="256">
        <f t="shared" si="126"/>
        <v>13.41</v>
      </c>
      <c r="AY288" s="256">
        <f t="shared" si="127"/>
        <v>3.304125</v>
      </c>
      <c r="AZ288" s="275">
        <f>IF(C288="",0,(0.5*(_ML1*LPM)+0.5*(_ML1*HB)+0.66*(P*PR)+0.66*(_ML2*RDM)+0.66*(E*ER))*VLOOKUP(BATT,'Look Ups'!$U$3:$V$4,2,0))</f>
        <v>49.260612000000002</v>
      </c>
      <c r="BA288" s="98"/>
      <c r="BB288" s="99"/>
      <c r="BC288" s="83">
        <v>12.08</v>
      </c>
      <c r="BD288" s="91">
        <v>4.16</v>
      </c>
      <c r="BE288" s="91">
        <v>4.5199999999999996</v>
      </c>
      <c r="BF288" s="91">
        <v>0.17</v>
      </c>
      <c r="BG288" s="91">
        <v>11</v>
      </c>
      <c r="BH288" s="91"/>
      <c r="BI288" s="91"/>
      <c r="BJ288" s="91">
        <v>0.11</v>
      </c>
      <c r="BK288" s="91">
        <v>3.5000000000000003E-2</v>
      </c>
      <c r="BL288" s="97">
        <v>0</v>
      </c>
      <c r="BM288" s="275">
        <f t="shared" si="128"/>
        <v>26.711192</v>
      </c>
      <c r="BN288" s="282"/>
      <c r="BO288" s="283"/>
      <c r="BP288" s="284"/>
      <c r="BQ288" s="284"/>
      <c r="BR288" s="283"/>
      <c r="BS288" s="284"/>
      <c r="BT288" s="284"/>
      <c r="BU288" s="280">
        <f t="shared" si="129"/>
        <v>0</v>
      </c>
      <c r="BV288" s="285"/>
      <c r="BW288" s="283"/>
      <c r="BX288" s="283"/>
      <c r="BY288" s="283"/>
      <c r="BZ288" s="283"/>
      <c r="CA288" s="283"/>
      <c r="CB288" s="283"/>
      <c r="CC288" s="275">
        <f t="shared" si="130"/>
        <v>0</v>
      </c>
      <c r="CD288" s="98">
        <v>11.38</v>
      </c>
      <c r="CE288" s="91">
        <v>16.11</v>
      </c>
      <c r="CF288" s="91">
        <v>14.75</v>
      </c>
      <c r="CG288" s="91">
        <v>9.26</v>
      </c>
      <c r="CH288" s="266">
        <f t="shared" si="131"/>
        <v>81.370826010544803</v>
      </c>
      <c r="CI288" s="283"/>
      <c r="CJ288" s="280">
        <f t="shared" si="132"/>
        <v>124.52009999999999</v>
      </c>
      <c r="CK288" s="83"/>
      <c r="CL288" s="91"/>
      <c r="CM288" s="91"/>
      <c r="CN288" s="91"/>
      <c r="CO288" s="256" t="str">
        <f t="shared" si="133"/>
        <v/>
      </c>
      <c r="CP288" s="283"/>
      <c r="CQ288" s="256">
        <f t="shared" si="134"/>
        <v>0</v>
      </c>
      <c r="CR288" s="256" t="str">
        <f>IF(CO288&lt;'Look Ups'!$AC$4,"Yes","No")</f>
        <v>No</v>
      </c>
      <c r="CS288" s="293">
        <f>IF(CR288="Yes",MIN(150,('Look Ups'!$AC$4-PSCR)/('Look Ups'!$AC$4-'Look Ups'!$AC$3)*100),0)</f>
        <v>0</v>
      </c>
      <c r="CT288" s="83"/>
      <c r="CU288" s="91"/>
      <c r="CV288" s="91"/>
      <c r="CW288" s="91"/>
      <c r="CX288" s="256" t="str">
        <f t="shared" si="135"/>
        <v/>
      </c>
      <c r="CY288" s="293">
        <f>IF(PUSCR&lt;'Look Ups'!$AC$4,MIN(150,('Look Ups'!$AC$4-PUSCR)/('Look Ups'!$AC$4-'Look Ups'!$AC$3)*100),0)</f>
        <v>0</v>
      </c>
      <c r="CZ288" s="275">
        <f>IF(PUSCR&lt;'Look Ups'!$AC$4,USCRF*(USCRL1+USCRL2)/4+(USCRMG-USCRF/2)*(USCRL1+USCRL2)/3,0)</f>
        <v>0</v>
      </c>
      <c r="DA288" s="294">
        <f t="shared" si="136"/>
        <v>1</v>
      </c>
      <c r="DB288" s="256">
        <f t="shared" si="137"/>
        <v>52.564737000000008</v>
      </c>
      <c r="DC288" s="256">
        <f t="shared" si="138"/>
        <v>1</v>
      </c>
      <c r="DD288" s="256">
        <f t="shared" si="139"/>
        <v>26.711192</v>
      </c>
      <c r="DE288" s="256">
        <f>IF(AZ288&gt;0,'Look Ups'!$S$3,0)</f>
        <v>1</v>
      </c>
      <c r="DF288" s="256">
        <f t="shared" si="140"/>
        <v>0</v>
      </c>
      <c r="DG288" s="256">
        <f t="shared" si="141"/>
        <v>0</v>
      </c>
      <c r="DH288" s="256">
        <f t="shared" si="142"/>
        <v>0</v>
      </c>
      <c r="DI288" s="280">
        <f t="shared" si="143"/>
        <v>0</v>
      </c>
      <c r="DJ288" s="295" t="str">
        <f t="shared" si="144"/>
        <v>-</v>
      </c>
      <c r="DK288" s="266" t="str">
        <f t="shared" si="145"/>
        <v>valid</v>
      </c>
      <c r="DL288" s="267" t="str">
        <f t="shared" si="146"/>
        <v>MGSP</v>
      </c>
      <c r="DM288" s="294">
        <f t="shared" si="147"/>
        <v>79.275929000000005</v>
      </c>
      <c r="DN288" s="256">
        <f>IF(MSASP&gt;0,'Look Ups'!$AI$4*(ZVAL*MSASP-RSAG),0)</f>
        <v>29.342672399999994</v>
      </c>
      <c r="DO288" s="256">
        <f>IF(AND(MSASC&gt;0,(MSASC&gt;=0.36*RSAM)),('Look Ups'!$AI$3*(ZVAL*MSASC-RSAG)),(0))</f>
        <v>0</v>
      </c>
      <c r="DP288" s="256">
        <f>IF(MSASP&gt;0,'Look Ups'!$AI$5*(ZVAL*MSASP-RSAG),0)</f>
        <v>27.386494239999998</v>
      </c>
      <c r="DQ288" s="256">
        <f>IF(MSASC&gt;0,'Look Ups'!$AI$6*(MSASC-RSAG),0)</f>
        <v>0</v>
      </c>
      <c r="DR288" s="280">
        <f>'Look Ups'!$AI$7*MAX(IF(MSAUSC&gt;0,EUSC/100*(MSAUSC-RSAG),0),IF(CR288="Yes",ELSC/100*(MSASC-RSAG),0))</f>
        <v>0</v>
      </c>
      <c r="DS288" s="280">
        <f t="shared" si="148"/>
        <v>18.923305320000001</v>
      </c>
      <c r="DT288" s="296">
        <f t="shared" si="149"/>
        <v>108.6186014</v>
      </c>
      <c r="DU288" s="14"/>
    </row>
    <row r="289" spans="1:125" ht="15.6" customHeight="1" x14ac:dyDescent="0.3">
      <c r="A289" s="4"/>
      <c r="B289" s="369"/>
      <c r="C289" s="369" t="s">
        <v>963</v>
      </c>
      <c r="D289" s="370" t="s">
        <v>964</v>
      </c>
      <c r="E289" s="371" t="s">
        <v>885</v>
      </c>
      <c r="F289" s="252">
        <f t="shared" ca="1" si="120"/>
        <v>1.0489999999999999</v>
      </c>
      <c r="G289" s="252" t="str">
        <f ca="1">IF(OR(FLSCR="ERROR",FLSPI="ERROR"),"No",IF(TODAY()-'Look Ups'!$D$4*365&gt;I289,"WP Applied","Yes"))</f>
        <v>WP Applied</v>
      </c>
      <c r="H289" s="253" t="str">
        <f t="shared" si="121"/>
        <v>Main-Genoa-Spinnaker</v>
      </c>
      <c r="I289" s="1">
        <v>38951</v>
      </c>
      <c r="J289" s="1"/>
      <c r="K289" s="87" t="s">
        <v>876</v>
      </c>
      <c r="L289" s="87" t="s">
        <v>658</v>
      </c>
      <c r="M289" s="207"/>
      <c r="N289" s="88" t="s">
        <v>774</v>
      </c>
      <c r="O289" s="88"/>
      <c r="P289" s="89"/>
      <c r="Q289" s="90">
        <v>10.08</v>
      </c>
      <c r="R289" s="87"/>
      <c r="S289" s="256">
        <f t="shared" si="122"/>
        <v>0.252</v>
      </c>
      <c r="T289" s="117">
        <v>0.24</v>
      </c>
      <c r="U289" s="117">
        <v>0</v>
      </c>
      <c r="V289" s="258">
        <f t="shared" si="123"/>
        <v>9.84</v>
      </c>
      <c r="W289" s="259">
        <f>IF(RL&gt;0,IF(RL&gt;'Look Ups'!Y$7,'Look Ups'!Y$8,('Look Ups'!Y$3*RL^3+'Look Ups'!Y$4*RL^2+'Look Ups'!Y$5*RL+'Look Ups'!Y$6)),0)</f>
        <v>0.29826536883200006</v>
      </c>
      <c r="X289" s="92">
        <v>1395</v>
      </c>
      <c r="Y289" s="263">
        <f ca="1">IF(WDATE&lt;(TODAY()-'Look Ups'!$D$4*365),-WM*'Look Ups'!$D$5/100,0)</f>
        <v>-209.25</v>
      </c>
      <c r="Z289" s="103"/>
      <c r="AA289" s="109"/>
      <c r="AB289" s="109"/>
      <c r="AC289" s="265">
        <f>WCD+NC*'Look Ups'!$AF$3</f>
        <v>0</v>
      </c>
      <c r="AD289" s="265">
        <f ca="1">IF(RL&lt;'Look Ups'!AM$3,'Look Ups'!AM$4,IF(RL&gt;'Look Ups'!AM$5,'Look Ups'!AM$6,(RL-'Look Ups'!AM$3)/('Look Ups'!AM$5-'Look Ups'!AM$3)*('Look Ups'!AM$6-'Look Ups'!AM$4)+'Look Ups'!AM$4))/100*WS</f>
        <v>220.33390909090909</v>
      </c>
      <c r="AE289" s="269">
        <f t="shared" ca="1" si="124"/>
        <v>1185.75</v>
      </c>
      <c r="AF289" s="267">
        <f t="shared" ca="1" si="125"/>
        <v>1185.75</v>
      </c>
      <c r="AG289" s="94" t="s">
        <v>145</v>
      </c>
      <c r="AH289" s="95" t="s">
        <v>146</v>
      </c>
      <c r="AI289" s="96" t="s">
        <v>147</v>
      </c>
      <c r="AJ289" s="218"/>
      <c r="AK289" s="273">
        <f>IF(C289="",0,VLOOKUP(AG289,'Look Ups'!$F$3:$G$6,2,0)*VLOOKUP(AH289,'Look Ups'!$I$3:$J$5,2,0)*VLOOKUP(AI289,'Look Ups'!$L$3:$M$7,2,0)*IF(AJ289="",1,VLOOKUP(AJ289,'Look Ups'!$O$3:$P$4,2,0)))</f>
        <v>1</v>
      </c>
      <c r="AL289" s="83">
        <v>13.06</v>
      </c>
      <c r="AM289" s="91">
        <v>12.8</v>
      </c>
      <c r="AN289" s="91">
        <v>3.54</v>
      </c>
      <c r="AO289" s="91">
        <v>1.02</v>
      </c>
      <c r="AP289" s="91">
        <v>0.86</v>
      </c>
      <c r="AQ289" s="91">
        <v>13.7</v>
      </c>
      <c r="AR289" s="91">
        <v>0.13</v>
      </c>
      <c r="AS289" s="91">
        <v>3.56</v>
      </c>
      <c r="AT289" s="91">
        <v>0</v>
      </c>
      <c r="AU289" s="91">
        <v>0.81</v>
      </c>
      <c r="AV289" s="91" t="s">
        <v>148</v>
      </c>
      <c r="AW289" s="97">
        <v>0</v>
      </c>
      <c r="AX289" s="256">
        <f t="shared" si="126"/>
        <v>13.7</v>
      </c>
      <c r="AY289" s="256">
        <f t="shared" si="127"/>
        <v>4.1613749999999996</v>
      </c>
      <c r="AZ289" s="275">
        <f>IF(C289="",0,(0.5*(_ML1*LPM)+0.5*(_ML1*HB)+0.66*(P*PR)+0.66*(_ML2*RDM)+0.66*(E*ER))*VLOOKUP(BATT,'Look Ups'!$U$3:$V$4,2,0))</f>
        <v>38.21754</v>
      </c>
      <c r="BA289" s="98"/>
      <c r="BB289" s="99"/>
      <c r="BC289" s="83">
        <v>9.36</v>
      </c>
      <c r="BD289" s="91">
        <v>2.7</v>
      </c>
      <c r="BE289" s="91">
        <v>2.85</v>
      </c>
      <c r="BF289" s="91">
        <v>0.09</v>
      </c>
      <c r="BG289" s="91">
        <v>8.93</v>
      </c>
      <c r="BH289" s="91"/>
      <c r="BI289" s="91"/>
      <c r="BJ289" s="91">
        <v>0.27</v>
      </c>
      <c r="BK289" s="91">
        <v>0</v>
      </c>
      <c r="BL289" s="97">
        <v>0</v>
      </c>
      <c r="BM289" s="275">
        <f t="shared" si="128"/>
        <v>14.396616</v>
      </c>
      <c r="BN289" s="319"/>
      <c r="BO289" s="320"/>
      <c r="BP289" s="321"/>
      <c r="BQ289" s="321"/>
      <c r="BR289" s="320"/>
      <c r="BS289" s="321"/>
      <c r="BT289" s="321"/>
      <c r="BU289" s="280">
        <f t="shared" si="129"/>
        <v>0</v>
      </c>
      <c r="BV289" s="322"/>
      <c r="BW289" s="320"/>
      <c r="BX289" s="320"/>
      <c r="BY289" s="320"/>
      <c r="BZ289" s="320"/>
      <c r="CA289" s="320"/>
      <c r="CB289" s="320"/>
      <c r="CC289" s="275">
        <f t="shared" si="130"/>
        <v>0</v>
      </c>
      <c r="CD289" s="98">
        <v>7.77</v>
      </c>
      <c r="CE289" s="91">
        <v>14.09</v>
      </c>
      <c r="CF289" s="91">
        <v>15.37</v>
      </c>
      <c r="CG289" s="91">
        <v>6.45</v>
      </c>
      <c r="CH289" s="266">
        <f t="shared" si="131"/>
        <v>83.011583011583028</v>
      </c>
      <c r="CI289" s="320"/>
      <c r="CJ289" s="280">
        <f t="shared" si="132"/>
        <v>82.414349999999999</v>
      </c>
      <c r="CK289" s="83"/>
      <c r="CL289" s="91"/>
      <c r="CM289" s="91"/>
      <c r="CN289" s="91"/>
      <c r="CO289" s="256" t="str">
        <f t="shared" si="133"/>
        <v/>
      </c>
      <c r="CP289" s="320"/>
      <c r="CQ289" s="256">
        <f t="shared" si="134"/>
        <v>0</v>
      </c>
      <c r="CR289" s="256" t="str">
        <f>IF(CO289&lt;'Look Ups'!$AC$4,"Yes","No")</f>
        <v>No</v>
      </c>
      <c r="CS289" s="293">
        <f>IF(CR289="Yes",MIN(150,('Look Ups'!$AC$4-PSCR)/('Look Ups'!$AC$4-'Look Ups'!$AC$3)*100),0)</f>
        <v>0</v>
      </c>
      <c r="CT289" s="83"/>
      <c r="CU289" s="91"/>
      <c r="CV289" s="91"/>
      <c r="CW289" s="91"/>
      <c r="CX289" s="256" t="str">
        <f t="shared" si="135"/>
        <v/>
      </c>
      <c r="CY289" s="293">
        <f>IF(PUSCR&lt;'Look Ups'!$AC$4,MIN(150,('Look Ups'!$AC$4-PUSCR)/('Look Ups'!$AC$4-'Look Ups'!$AC$3)*100),0)</f>
        <v>0</v>
      </c>
      <c r="CZ289" s="275">
        <f>IF(PUSCR&lt;'Look Ups'!$AC$4,USCRF*(USCRL1+USCRL2)/4+(USCRMG-USCRF/2)*(USCRL1+USCRL2)/3,0)</f>
        <v>0</v>
      </c>
      <c r="DA289" s="294">
        <f t="shared" si="136"/>
        <v>1</v>
      </c>
      <c r="DB289" s="256">
        <f t="shared" si="137"/>
        <v>42.378914999999999</v>
      </c>
      <c r="DC289" s="256">
        <f t="shared" si="138"/>
        <v>1</v>
      </c>
      <c r="DD289" s="256">
        <f t="shared" si="139"/>
        <v>14.396616</v>
      </c>
      <c r="DE289" s="256">
        <f>IF(AZ289&gt;0,'Look Ups'!$S$3,0)</f>
        <v>1</v>
      </c>
      <c r="DF289" s="256">
        <f t="shared" si="140"/>
        <v>0</v>
      </c>
      <c r="DG289" s="256">
        <f t="shared" si="141"/>
        <v>0</v>
      </c>
      <c r="DH289" s="256">
        <f t="shared" si="142"/>
        <v>0</v>
      </c>
      <c r="DI289" s="280">
        <f t="shared" si="143"/>
        <v>0</v>
      </c>
      <c r="DJ289" s="295" t="str">
        <f t="shared" si="144"/>
        <v>-</v>
      </c>
      <c r="DK289" s="266" t="str">
        <f t="shared" si="145"/>
        <v>valid</v>
      </c>
      <c r="DL289" s="267" t="str">
        <f t="shared" si="146"/>
        <v>MGSP</v>
      </c>
      <c r="DM289" s="294">
        <f t="shared" si="147"/>
        <v>56.775531000000001</v>
      </c>
      <c r="DN289" s="256">
        <f>IF(MSASP&gt;0,'Look Ups'!$AI$4*(ZVAL*MSASP-RSAG),0)</f>
        <v>20.405320200000002</v>
      </c>
      <c r="DO289" s="256">
        <f>IF(AND(MSASC&gt;0,(MSASC&gt;=0.36*RSAM)),('Look Ups'!$AI$3*(ZVAL*MSASC-RSAG)),(0))</f>
        <v>0</v>
      </c>
      <c r="DP289" s="256">
        <f>IF(MSASP&gt;0,'Look Ups'!$AI$5*(ZVAL*MSASP-RSAG),0)</f>
        <v>19.044965520000002</v>
      </c>
      <c r="DQ289" s="256">
        <f>IF(MSASC&gt;0,'Look Ups'!$AI$6*(MSASC-RSAG),0)</f>
        <v>0</v>
      </c>
      <c r="DR289" s="280">
        <f>'Look Ups'!$AI$7*MAX(IF(MSAUSC&gt;0,EUSC/100*(MSAUSC-RSAG),0),IF(CR289="Yes",ELSC/100*(MSASC-RSAG),0))</f>
        <v>0</v>
      </c>
      <c r="DS289" s="280">
        <f t="shared" si="148"/>
        <v>15.256409399999999</v>
      </c>
      <c r="DT289" s="296">
        <f t="shared" si="149"/>
        <v>77.180851200000006</v>
      </c>
      <c r="DU289" s="14"/>
    </row>
    <row r="290" spans="1:125" ht="15.6" customHeight="1" x14ac:dyDescent="0.3">
      <c r="A290" s="4"/>
      <c r="B290" s="365"/>
      <c r="C290" s="369" t="s">
        <v>965</v>
      </c>
      <c r="D290" s="370" t="s">
        <v>966</v>
      </c>
      <c r="E290" s="371" t="s">
        <v>967</v>
      </c>
      <c r="F290" s="252">
        <f t="shared" ca="1" si="120"/>
        <v>0.77600000000000002</v>
      </c>
      <c r="G290" s="252" t="str">
        <f ca="1">IF(OR(FLSCR="ERROR",FLSPI="ERROR"),"No",IF(TODAY()-'Look Ups'!$D$4*365&gt;I290,"WP Applied","Yes"))</f>
        <v>WP Applied</v>
      </c>
      <c r="H290" s="253" t="str">
        <f t="shared" si="121"/>
        <v>Main-Genoa-Screacher</v>
      </c>
      <c r="I290" s="1">
        <v>37506</v>
      </c>
      <c r="J290" s="1"/>
      <c r="K290" s="87" t="s">
        <v>968</v>
      </c>
      <c r="L290" s="87" t="s">
        <v>589</v>
      </c>
      <c r="M290" s="207"/>
      <c r="N290" s="88" t="s">
        <v>165</v>
      </c>
      <c r="O290" s="88"/>
      <c r="P290" s="89">
        <v>5.7</v>
      </c>
      <c r="Q290" s="90">
        <v>9.34</v>
      </c>
      <c r="R290" s="87"/>
      <c r="S290" s="256">
        <f t="shared" si="122"/>
        <v>0.23350000000000001</v>
      </c>
      <c r="T290" s="117">
        <v>0.2</v>
      </c>
      <c r="U290" s="117">
        <v>0</v>
      </c>
      <c r="V290" s="258">
        <f t="shared" si="123"/>
        <v>9.14</v>
      </c>
      <c r="W290" s="259">
        <f>IF(RL&gt;0,IF(RL&gt;'Look Ups'!Y$7,'Look Ups'!Y$8,('Look Ups'!Y$3*RL^3+'Look Ups'!Y$4*RL^2+'Look Ups'!Y$5*RL+'Look Ups'!Y$6)),0)</f>
        <v>0.29697177415200005</v>
      </c>
      <c r="X290" s="92">
        <v>2962</v>
      </c>
      <c r="Y290" s="263">
        <f ca="1">IF(WDATE&lt;(TODAY()-'Look Ups'!$D$4*365),-WM*'Look Ups'!$D$5/100,0)</f>
        <v>-444.3</v>
      </c>
      <c r="Z290" s="103"/>
      <c r="AA290" s="109"/>
      <c r="AB290" s="109"/>
      <c r="AC290" s="265">
        <f>WCD+NC*'Look Ups'!$AF$3</f>
        <v>0</v>
      </c>
      <c r="AD290" s="265">
        <f ca="1">IF(RL&lt;'Look Ups'!AM$3,'Look Ups'!AM$4,IF(RL&gt;'Look Ups'!AM$5,'Look Ups'!AM$6,(RL-'Look Ups'!AM$3)/('Look Ups'!AM$5-'Look Ups'!AM$3)*('Look Ups'!AM$6-'Look Ups'!AM$4)+'Look Ups'!AM$4))/100*WS</f>
        <v>531.92134545454542</v>
      </c>
      <c r="AE290" s="269">
        <f t="shared" ca="1" si="124"/>
        <v>2517.6999999999998</v>
      </c>
      <c r="AF290" s="267">
        <f t="shared" ca="1" si="125"/>
        <v>2517.6999999999998</v>
      </c>
      <c r="AG290" s="94" t="s">
        <v>145</v>
      </c>
      <c r="AH290" s="95" t="s">
        <v>146</v>
      </c>
      <c r="AI290" s="96" t="s">
        <v>147</v>
      </c>
      <c r="AJ290" s="218"/>
      <c r="AK290" s="273">
        <f>IF(C290="",0,VLOOKUP(AG290,'Look Ups'!$F$3:$G$6,2,0)*VLOOKUP(AH290,'Look Ups'!$I$3:$J$5,2,0)*VLOOKUP(AI290,'Look Ups'!$L$3:$M$7,2,0)*IF(AJ290="",1,VLOOKUP(AJ290,'Look Ups'!$O$3:$P$4,2,0)))</f>
        <v>1</v>
      </c>
      <c r="AL290" s="83">
        <v>12.05</v>
      </c>
      <c r="AM290" s="91">
        <v>12</v>
      </c>
      <c r="AN290" s="91">
        <v>3.62</v>
      </c>
      <c r="AO290" s="91">
        <v>0.12</v>
      </c>
      <c r="AP290" s="91">
        <v>1.17</v>
      </c>
      <c r="AQ290" s="91">
        <v>11.69</v>
      </c>
      <c r="AR290" s="91">
        <v>0.17500000000000002</v>
      </c>
      <c r="AS290" s="91">
        <v>3.82</v>
      </c>
      <c r="AT290" s="91">
        <v>0.08</v>
      </c>
      <c r="AU290" s="91"/>
      <c r="AV290" s="91" t="s">
        <v>148</v>
      </c>
      <c r="AW290" s="97">
        <v>0</v>
      </c>
      <c r="AX290" s="256">
        <f t="shared" si="126"/>
        <v>11.77</v>
      </c>
      <c r="AY290" s="256">
        <f t="shared" si="127"/>
        <v>0</v>
      </c>
      <c r="AZ290" s="275">
        <f>IF(C290="",0,(0.5*(_ML1*LPM)+0.5*(_ML1*HB)+0.66*(P*PR)+0.66*(_ML2*RDM)+0.66*(E*ER))*VLOOKUP(BATT,'Look Ups'!$U$3:$V$4,2,0))</f>
        <v>33.351790999999999</v>
      </c>
      <c r="BA290" s="98"/>
      <c r="BB290" s="99"/>
      <c r="BC290" s="83">
        <v>11.62</v>
      </c>
      <c r="BD290" s="91">
        <v>4.7699999999999996</v>
      </c>
      <c r="BE290" s="91">
        <v>5.49</v>
      </c>
      <c r="BF290" s="91">
        <v>0.26</v>
      </c>
      <c r="BG290" s="91">
        <v>10.18</v>
      </c>
      <c r="BH290" s="91"/>
      <c r="BI290" s="91"/>
      <c r="BJ290" s="91">
        <v>-0.09</v>
      </c>
      <c r="BK290" s="91">
        <v>-0.12</v>
      </c>
      <c r="BL290" s="97"/>
      <c r="BM290" s="275">
        <f t="shared" si="128"/>
        <v>27.130787999999995</v>
      </c>
      <c r="BN290" s="319"/>
      <c r="BO290" s="320"/>
      <c r="BP290" s="321"/>
      <c r="BQ290" s="321"/>
      <c r="BR290" s="320"/>
      <c r="BS290" s="321"/>
      <c r="BT290" s="321"/>
      <c r="BU290" s="280">
        <f t="shared" si="129"/>
        <v>0</v>
      </c>
      <c r="BV290" s="322"/>
      <c r="BW290" s="320"/>
      <c r="BX290" s="320"/>
      <c r="BY290" s="320"/>
      <c r="BZ290" s="320"/>
      <c r="CA290" s="320"/>
      <c r="CB290" s="320"/>
      <c r="CC290" s="275">
        <f t="shared" si="130"/>
        <v>0</v>
      </c>
      <c r="CD290" s="98"/>
      <c r="CE290" s="91"/>
      <c r="CF290" s="91"/>
      <c r="CG290" s="91"/>
      <c r="CH290" s="266" t="str">
        <f t="shared" si="131"/>
        <v/>
      </c>
      <c r="CI290" s="320"/>
      <c r="CJ290" s="280">
        <f t="shared" si="132"/>
        <v>0</v>
      </c>
      <c r="CK290" s="83">
        <v>7.94</v>
      </c>
      <c r="CL290" s="91">
        <v>13.75</v>
      </c>
      <c r="CM290" s="91">
        <v>10.7</v>
      </c>
      <c r="CN290" s="91">
        <v>5.12</v>
      </c>
      <c r="CO290" s="256">
        <f t="shared" si="133"/>
        <v>64.483627204030228</v>
      </c>
      <c r="CP290" s="320"/>
      <c r="CQ290" s="256">
        <f t="shared" si="134"/>
        <v>57.905749999999998</v>
      </c>
      <c r="CR290" s="256" t="str">
        <f>IF(CO290&lt;'Look Ups'!$AC$4,"Yes","No")</f>
        <v>No</v>
      </c>
      <c r="CS290" s="293">
        <f>IF(CR290="Yes",MIN(150,('Look Ups'!$AC$4-PSCR)/('Look Ups'!$AC$4-'Look Ups'!$AC$3)*100),0)</f>
        <v>0</v>
      </c>
      <c r="CT290" s="83"/>
      <c r="CU290" s="91"/>
      <c r="CV290" s="91"/>
      <c r="CW290" s="91"/>
      <c r="CX290" s="256" t="str">
        <f t="shared" si="135"/>
        <v/>
      </c>
      <c r="CY290" s="293">
        <f>IF(PUSCR&lt;'Look Ups'!$AC$4,MIN(150,('Look Ups'!$AC$4-PUSCR)/('Look Ups'!$AC$4-'Look Ups'!$AC$3)*100),0)</f>
        <v>0</v>
      </c>
      <c r="CZ290" s="275">
        <f>IF(PUSCR&lt;'Look Ups'!$AC$4,USCRF*(USCRL1+USCRL2)/4+(USCRMG-USCRF/2)*(USCRL1+USCRL2)/3,0)</f>
        <v>0</v>
      </c>
      <c r="DA290" s="294">
        <f t="shared" si="136"/>
        <v>1</v>
      </c>
      <c r="DB290" s="256">
        <f t="shared" si="137"/>
        <v>33.351790999999999</v>
      </c>
      <c r="DC290" s="256">
        <f t="shared" si="138"/>
        <v>1</v>
      </c>
      <c r="DD290" s="256">
        <f t="shared" si="139"/>
        <v>27.130787999999995</v>
      </c>
      <c r="DE290" s="256">
        <f>IF(AZ290&gt;0,'Look Ups'!$S$3,0)</f>
        <v>1</v>
      </c>
      <c r="DF290" s="256">
        <f t="shared" si="140"/>
        <v>0</v>
      </c>
      <c r="DG290" s="256">
        <f t="shared" si="141"/>
        <v>0</v>
      </c>
      <c r="DH290" s="256">
        <f t="shared" si="142"/>
        <v>0</v>
      </c>
      <c r="DI290" s="280">
        <f t="shared" si="143"/>
        <v>0</v>
      </c>
      <c r="DJ290" s="295" t="str">
        <f t="shared" si="144"/>
        <v>valid</v>
      </c>
      <c r="DK290" s="266" t="str">
        <f t="shared" si="145"/>
        <v>-</v>
      </c>
      <c r="DL290" s="267" t="str">
        <f t="shared" si="146"/>
        <v>MGScr</v>
      </c>
      <c r="DM290" s="294">
        <f t="shared" si="147"/>
        <v>60.482578999999994</v>
      </c>
      <c r="DN290" s="256">
        <f>IF(MSASP&gt;0,'Look Ups'!$AI$4*(ZVAL*MSASP-RSAG),0)</f>
        <v>0</v>
      </c>
      <c r="DO290" s="256">
        <f>IF(AND(MSASC&gt;0,(MSASC&gt;=0.36*RSAM)),('Look Ups'!$AI$3*(ZVAL*MSASC-RSAG)),(0))</f>
        <v>10.771236699999999</v>
      </c>
      <c r="DP290" s="256">
        <f>IF(MSASP&gt;0,'Look Ups'!$AI$5*(ZVAL*MSASP-RSAG),0)</f>
        <v>0</v>
      </c>
      <c r="DQ290" s="256">
        <f>IF(MSASC&gt;0,'Look Ups'!$AI$6*(MSASC-RSAG),0)</f>
        <v>2.1542473400000004</v>
      </c>
      <c r="DR290" s="280">
        <f>'Look Ups'!$AI$7*MAX(IF(MSAUSC&gt;0,EUSC/100*(MSAUSC-RSAG),0),IF(CR290="Yes",ELSC/100*(MSASC-RSAG),0))</f>
        <v>0</v>
      </c>
      <c r="DS290" s="280">
        <f t="shared" si="148"/>
        <v>12.006644759999999</v>
      </c>
      <c r="DT290" s="296">
        <f t="shared" si="149"/>
        <v>71.25381569999999</v>
      </c>
      <c r="DU290" s="14"/>
    </row>
    <row r="291" spans="1:125" ht="15.6" customHeight="1" x14ac:dyDescent="0.3">
      <c r="A291" s="4"/>
      <c r="B291" s="365"/>
      <c r="C291" s="369" t="s">
        <v>969</v>
      </c>
      <c r="D291" s="370" t="s">
        <v>277</v>
      </c>
      <c r="E291" s="371" t="s">
        <v>970</v>
      </c>
      <c r="F291" s="252">
        <f t="shared" ca="1" si="120"/>
        <v>0.97799999999999998</v>
      </c>
      <c r="G291" s="252" t="str">
        <f ca="1">IF(OR(FLSCR="ERROR",FLSPI="ERROR"),"No",IF(TODAY()-'Look Ups'!$D$4*365&gt;I291,"WP Applied","Yes"))</f>
        <v>WP Applied</v>
      </c>
      <c r="H291" s="253" t="str">
        <f t="shared" si="121"/>
        <v>Main-Genoa-Screacher (Upwind)-Spinnaker</v>
      </c>
      <c r="I291" s="1">
        <v>40088</v>
      </c>
      <c r="J291" s="1">
        <v>40088</v>
      </c>
      <c r="K291" s="87" t="s">
        <v>607</v>
      </c>
      <c r="L291" s="87" t="s">
        <v>241</v>
      </c>
      <c r="M291" s="207"/>
      <c r="N291" s="88" t="s">
        <v>143</v>
      </c>
      <c r="O291" s="88" t="s">
        <v>154</v>
      </c>
      <c r="P291" s="89"/>
      <c r="Q291" s="90">
        <v>7.09</v>
      </c>
      <c r="R291" s="87"/>
      <c r="S291" s="256">
        <f t="shared" si="122"/>
        <v>0.17725000000000002</v>
      </c>
      <c r="T291" s="117">
        <v>0.03</v>
      </c>
      <c r="U291" s="117"/>
      <c r="V291" s="258">
        <f t="shared" si="123"/>
        <v>7.06</v>
      </c>
      <c r="W291" s="259">
        <f>IF(RL&gt;0,IF(RL&gt;'Look Ups'!Y$7,'Look Ups'!Y$8,('Look Ups'!Y$3*RL^3+'Look Ups'!Y$4*RL^2+'Look Ups'!Y$5*RL+'Look Ups'!Y$6)),0)</f>
        <v>0.29000152192799999</v>
      </c>
      <c r="X291" s="92">
        <f>855+22</f>
        <v>877</v>
      </c>
      <c r="Y291" s="263">
        <f ca="1">IF(WDATE&lt;(TODAY()-'Look Ups'!$D$4*365),-WM*'Look Ups'!$D$5/100,0)</f>
        <v>-131.55000000000001</v>
      </c>
      <c r="Z291" s="103"/>
      <c r="AA291" s="109"/>
      <c r="AB291" s="109"/>
      <c r="AC291" s="265">
        <f>WCD+NC*'Look Ups'!$AF$3</f>
        <v>0</v>
      </c>
      <c r="AD291" s="265">
        <f ca="1">IF(RL&lt;'Look Ups'!AM$3,'Look Ups'!AM$4,IF(RL&gt;'Look Ups'!AM$5,'Look Ups'!AM$6,(RL-'Look Ups'!AM$3)/('Look Ups'!AM$5-'Look Ups'!AM$3)*('Look Ups'!AM$6-'Look Ups'!AM$4)+'Look Ups'!AM$4))/100*WS</f>
        <v>213.87638181818181</v>
      </c>
      <c r="AE291" s="269">
        <f t="shared" ca="1" si="124"/>
        <v>745.45</v>
      </c>
      <c r="AF291" s="267">
        <f t="shared" ca="1" si="125"/>
        <v>745.45</v>
      </c>
      <c r="AG291" s="94" t="s">
        <v>145</v>
      </c>
      <c r="AH291" s="95" t="s">
        <v>146</v>
      </c>
      <c r="AI291" s="96" t="s">
        <v>147</v>
      </c>
      <c r="AJ291" s="218"/>
      <c r="AK291" s="273">
        <f>IF(C291="",0,VLOOKUP(AG291,'Look Ups'!$F$3:$G$6,2,0)*VLOOKUP(AH291,'Look Ups'!$I$3:$J$5,2,0)*VLOOKUP(AI291,'Look Ups'!$L$3:$M$7,2,0)*IF(AJ291="",1,VLOOKUP(AJ291,'Look Ups'!$O$3:$P$4,2,0)))</f>
        <v>1</v>
      </c>
      <c r="AL291" s="83">
        <v>10.65</v>
      </c>
      <c r="AM291" s="91">
        <v>10.43</v>
      </c>
      <c r="AN291" s="91">
        <v>2.92</v>
      </c>
      <c r="AO291" s="91">
        <v>0.77</v>
      </c>
      <c r="AP291" s="91">
        <v>0.76</v>
      </c>
      <c r="AQ291" s="91">
        <v>10.62</v>
      </c>
      <c r="AR291" s="91">
        <v>0.16</v>
      </c>
      <c r="AS291" s="91">
        <v>2.97</v>
      </c>
      <c r="AT291" s="91">
        <v>0.05</v>
      </c>
      <c r="AU291" s="91">
        <v>0.46</v>
      </c>
      <c r="AV291" s="91" t="s">
        <v>148</v>
      </c>
      <c r="AW291" s="97">
        <v>73</v>
      </c>
      <c r="AX291" s="256">
        <f t="shared" si="126"/>
        <v>10.67</v>
      </c>
      <c r="AY291" s="256">
        <f t="shared" si="127"/>
        <v>1.83195</v>
      </c>
      <c r="AZ291" s="275">
        <f>IF(C291="",0,(0.5*(_ML1*LPM)+0.5*(_ML1*HB)+0.66*(P*PR)+0.66*(_ML2*RDM)+0.66*(E*ER))*VLOOKUP(BATT,'Look Ups'!$U$3:$V$4,2,0))</f>
        <v>26.100419999999996</v>
      </c>
      <c r="BA291" s="98"/>
      <c r="BB291" s="99"/>
      <c r="BC291" s="83">
        <v>9.7100000000000009</v>
      </c>
      <c r="BD291" s="91">
        <v>2.5</v>
      </c>
      <c r="BE291" s="91">
        <v>2.91</v>
      </c>
      <c r="BF291" s="91">
        <v>0.09</v>
      </c>
      <c r="BG291" s="91">
        <v>8.65</v>
      </c>
      <c r="BH291" s="91"/>
      <c r="BI291" s="91"/>
      <c r="BJ291" s="91">
        <v>0.05</v>
      </c>
      <c r="BK291" s="91">
        <v>-0.04</v>
      </c>
      <c r="BL291" s="97" t="s">
        <v>971</v>
      </c>
      <c r="BM291" s="275">
        <f t="shared" si="128"/>
        <v>12.339460000000001</v>
      </c>
      <c r="BN291" s="319"/>
      <c r="BO291" s="320"/>
      <c r="BP291" s="321"/>
      <c r="BQ291" s="321"/>
      <c r="BR291" s="320"/>
      <c r="BS291" s="321"/>
      <c r="BT291" s="321"/>
      <c r="BU291" s="280">
        <f t="shared" si="129"/>
        <v>0</v>
      </c>
      <c r="BV291" s="322"/>
      <c r="BW291" s="320"/>
      <c r="BX291" s="320"/>
      <c r="BY291" s="320"/>
      <c r="BZ291" s="320"/>
      <c r="CA291" s="320"/>
      <c r="CB291" s="320"/>
      <c r="CC291" s="275">
        <f t="shared" si="130"/>
        <v>0</v>
      </c>
      <c r="CD291" s="98">
        <v>7.08</v>
      </c>
      <c r="CE291" s="91">
        <v>11.65</v>
      </c>
      <c r="CF291" s="91">
        <v>12.72</v>
      </c>
      <c r="CG291" s="91">
        <v>7.05</v>
      </c>
      <c r="CH291" s="266">
        <f t="shared" si="131"/>
        <v>99.576271186440678</v>
      </c>
      <c r="CI291" s="320"/>
      <c r="CJ291" s="280">
        <f t="shared" si="132"/>
        <v>71.647800000000004</v>
      </c>
      <c r="CK291" s="83">
        <v>6.17</v>
      </c>
      <c r="CL291" s="91">
        <v>10.69</v>
      </c>
      <c r="CM291" s="91">
        <v>9.9</v>
      </c>
      <c r="CN291" s="91">
        <v>3.14</v>
      </c>
      <c r="CO291" s="256">
        <f t="shared" si="133"/>
        <v>50.891410048622362</v>
      </c>
      <c r="CP291" s="320"/>
      <c r="CQ291" s="256">
        <f t="shared" si="134"/>
        <v>32.137558333333338</v>
      </c>
      <c r="CR291" s="256" t="str">
        <f>IF(CO291&lt;'Look Ups'!$AC$4,"Yes","No")</f>
        <v>Yes</v>
      </c>
      <c r="CS291" s="293">
        <f>IF(CR291="Yes",MIN(150,('Look Ups'!$AC$4-PSCR)/('Look Ups'!$AC$4-'Look Ups'!$AC$3)*100),0)</f>
        <v>22.171799027552765</v>
      </c>
      <c r="CT291" s="83"/>
      <c r="CU291" s="91"/>
      <c r="CV291" s="91"/>
      <c r="CW291" s="91"/>
      <c r="CX291" s="256" t="str">
        <f t="shared" si="135"/>
        <v/>
      </c>
      <c r="CY291" s="293">
        <f>IF(PUSCR&lt;'Look Ups'!$AC$4,MIN(150,('Look Ups'!$AC$4-PUSCR)/('Look Ups'!$AC$4-'Look Ups'!$AC$3)*100),0)</f>
        <v>0</v>
      </c>
      <c r="CZ291" s="275">
        <f>IF(PUSCR&lt;'Look Ups'!$AC$4,USCRF*(USCRL1+USCRL2)/4+(USCRMG-USCRF/2)*(USCRL1+USCRL2)/3,0)</f>
        <v>0</v>
      </c>
      <c r="DA291" s="294">
        <f t="shared" si="136"/>
        <v>1</v>
      </c>
      <c r="DB291" s="256">
        <f t="shared" si="137"/>
        <v>27.932369999999992</v>
      </c>
      <c r="DC291" s="256">
        <f t="shared" si="138"/>
        <v>1</v>
      </c>
      <c r="DD291" s="256">
        <f t="shared" si="139"/>
        <v>12.339460000000001</v>
      </c>
      <c r="DE291" s="256">
        <f>IF(AZ291&gt;0,'Look Ups'!$S$3,0)</f>
        <v>1</v>
      </c>
      <c r="DF291" s="256">
        <f t="shared" si="140"/>
        <v>0</v>
      </c>
      <c r="DG291" s="256">
        <f t="shared" si="141"/>
        <v>0</v>
      </c>
      <c r="DH291" s="256">
        <f t="shared" si="142"/>
        <v>0</v>
      </c>
      <c r="DI291" s="280">
        <f t="shared" si="143"/>
        <v>0</v>
      </c>
      <c r="DJ291" s="295" t="str">
        <f t="shared" si="144"/>
        <v>valid</v>
      </c>
      <c r="DK291" s="266" t="str">
        <f t="shared" si="145"/>
        <v>valid</v>
      </c>
      <c r="DL291" s="267" t="str">
        <f t="shared" si="146"/>
        <v>MGScrSP</v>
      </c>
      <c r="DM291" s="294">
        <f t="shared" si="147"/>
        <v>40.271829999999994</v>
      </c>
      <c r="DN291" s="256">
        <f>IF(MSASP&gt;0,'Look Ups'!$AI$4*(ZVAL*MSASP-RSAG),0)</f>
        <v>17.792501999999999</v>
      </c>
      <c r="DO291" s="256">
        <f>IF(AND(MSASC&gt;0,(MSASC&gt;=0.36*RSAM)),('Look Ups'!$AI$3*(ZVAL*MSASC-RSAG)),(0))</f>
        <v>6.9293344166666673</v>
      </c>
      <c r="DP291" s="256">
        <f>IF(MSASP&gt;0,'Look Ups'!$AI$5*(ZVAL*MSASP-RSAG),0)</f>
        <v>16.6063352</v>
      </c>
      <c r="DQ291" s="256">
        <f>IF(MSASC&gt;0,'Look Ups'!$AI$6*(MSASC-RSAG),0)</f>
        <v>1.3858668833333336</v>
      </c>
      <c r="DR291" s="280">
        <f>'Look Ups'!$AI$7*MAX(IF(MSAUSC&gt;0,EUSC/100*(MSAUSC-RSAG),0),IF(CR291="Yes",ELSC/100*(MSASC-RSAG),0))</f>
        <v>1.0973986434359853</v>
      </c>
      <c r="DS291" s="280">
        <f t="shared" si="148"/>
        <v>10.055653199999997</v>
      </c>
      <c r="DT291" s="296">
        <f t="shared" si="149"/>
        <v>59.361430726769321</v>
      </c>
      <c r="DU291" s="14"/>
    </row>
    <row r="292" spans="1:125" ht="15.6" customHeight="1" x14ac:dyDescent="0.3">
      <c r="A292" s="4"/>
      <c r="B292" s="365"/>
      <c r="C292" s="369" t="s">
        <v>972</v>
      </c>
      <c r="D292" s="370" t="s">
        <v>973</v>
      </c>
      <c r="E292" s="371" t="s">
        <v>974</v>
      </c>
      <c r="F292" s="252">
        <f t="shared" ca="1" si="120"/>
        <v>1.2230000000000001</v>
      </c>
      <c r="G292" s="252" t="str">
        <f ca="1">IF(OR(FLSCR="ERROR",FLSPI="ERROR"),"No",IF(TODAY()-'Look Ups'!$D$4*365&gt;I292,"WP Applied","Yes"))</f>
        <v>WP Applied</v>
      </c>
      <c r="H292" s="253" t="str">
        <f t="shared" si="121"/>
        <v>Main-Genoa-Screacher</v>
      </c>
      <c r="I292" s="1">
        <v>40285</v>
      </c>
      <c r="J292" s="1">
        <v>40292</v>
      </c>
      <c r="K292" s="87" t="s">
        <v>975</v>
      </c>
      <c r="L292" s="87" t="s">
        <v>241</v>
      </c>
      <c r="M292" s="207"/>
      <c r="N292" s="88" t="s">
        <v>165</v>
      </c>
      <c r="O292" s="88"/>
      <c r="P292" s="89"/>
      <c r="Q292" s="90">
        <v>9.49</v>
      </c>
      <c r="R292" s="87"/>
      <c r="S292" s="256">
        <f t="shared" si="122"/>
        <v>0.23725000000000002</v>
      </c>
      <c r="T292" s="117"/>
      <c r="U292" s="117"/>
      <c r="V292" s="258">
        <f t="shared" si="123"/>
        <v>9.49</v>
      </c>
      <c r="W292" s="259">
        <f>IF(RL&gt;0,IF(RL&gt;'Look Ups'!Y$7,'Look Ups'!Y$8,('Look Ups'!Y$3*RL^3+'Look Ups'!Y$4*RL^2+'Look Ups'!Y$5*RL+'Look Ups'!Y$6)),0)</f>
        <v>0.297674981517</v>
      </c>
      <c r="X292" s="92">
        <v>845</v>
      </c>
      <c r="Y292" s="263">
        <f ca="1">IF(WDATE&lt;(TODAY()-'Look Ups'!$D$4*365),-WM*'Look Ups'!$D$5/100,0)</f>
        <v>-126.75</v>
      </c>
      <c r="Z292" s="103"/>
      <c r="AA292" s="109"/>
      <c r="AB292" s="109"/>
      <c r="AC292" s="265">
        <f>WCD+NC*'Look Ups'!$AF$3</f>
        <v>0</v>
      </c>
      <c r="AD292" s="265">
        <f ca="1">IF(RL&lt;'Look Ups'!AM$3,'Look Ups'!AM$4,IF(RL&gt;'Look Ups'!AM$5,'Look Ups'!AM$6,(RL-'Look Ups'!AM$3)/('Look Ups'!AM$5-'Look Ups'!AM$3)*('Look Ups'!AM$6-'Look Ups'!AM$4)+'Look Ups'!AM$4))/100*WS</f>
        <v>142.60527272727271</v>
      </c>
      <c r="AE292" s="269">
        <f t="shared" ca="1" si="124"/>
        <v>718.25</v>
      </c>
      <c r="AF292" s="267">
        <f t="shared" ca="1" si="125"/>
        <v>718.25</v>
      </c>
      <c r="AG292" s="94" t="s">
        <v>145</v>
      </c>
      <c r="AH292" s="95" t="s">
        <v>146</v>
      </c>
      <c r="AI292" s="96" t="s">
        <v>147</v>
      </c>
      <c r="AJ292" s="218"/>
      <c r="AK292" s="273">
        <f>IF(C292="",0,VLOOKUP(AG292,'Look Ups'!$F$3:$G$6,2,0)*VLOOKUP(AH292,'Look Ups'!$I$3:$J$5,2,0)*VLOOKUP(AI292,'Look Ups'!$L$3:$M$7,2,0)*IF(AJ292="",1,VLOOKUP(AJ292,'Look Ups'!$O$3:$P$4,2,0)))</f>
        <v>1</v>
      </c>
      <c r="AL292" s="83">
        <v>13.1</v>
      </c>
      <c r="AM292" s="91">
        <v>12.7</v>
      </c>
      <c r="AN292" s="91">
        <v>3.98</v>
      </c>
      <c r="AO292" s="91">
        <v>1.2450000000000001</v>
      </c>
      <c r="AP292" s="91">
        <v>0.75</v>
      </c>
      <c r="AQ292" s="91">
        <v>13.1</v>
      </c>
      <c r="AR292" s="91">
        <v>0.15</v>
      </c>
      <c r="AS292" s="91">
        <v>4</v>
      </c>
      <c r="AT292" s="91">
        <v>0.08</v>
      </c>
      <c r="AU292" s="91">
        <v>0.55000000000000004</v>
      </c>
      <c r="AV292" s="91" t="s">
        <v>148</v>
      </c>
      <c r="AW292" s="97"/>
      <c r="AX292" s="256">
        <f t="shared" si="126"/>
        <v>13.18</v>
      </c>
      <c r="AY292" s="256">
        <f t="shared" si="127"/>
        <v>2.7018749999999998</v>
      </c>
      <c r="AZ292" s="275">
        <f>IF(C292="",0,(0.5*(_ML1*LPM)+0.5*(_ML1*HB)+0.66*(P*PR)+0.66*(_ML2*RDM)+0.66*(E*ER))*VLOOKUP(BATT,'Look Ups'!$U$3:$V$4,2,0))</f>
        <v>42.018349999999991</v>
      </c>
      <c r="BA292" s="98"/>
      <c r="BB292" s="99"/>
      <c r="BC292" s="83">
        <v>11.3</v>
      </c>
      <c r="BD292" s="91">
        <v>2.48</v>
      </c>
      <c r="BE292" s="91">
        <v>2.5</v>
      </c>
      <c r="BF292" s="91">
        <v>0.1</v>
      </c>
      <c r="BG292" s="91">
        <v>11.2</v>
      </c>
      <c r="BH292" s="91"/>
      <c r="BI292" s="91"/>
      <c r="BJ292" s="91"/>
      <c r="BK292" s="91">
        <v>-0.11</v>
      </c>
      <c r="BL292" s="97"/>
      <c r="BM292" s="275">
        <f t="shared" si="128"/>
        <v>13.356619999999999</v>
      </c>
      <c r="BN292" s="319"/>
      <c r="BO292" s="320"/>
      <c r="BP292" s="321"/>
      <c r="BQ292" s="321"/>
      <c r="BR292" s="320"/>
      <c r="BS292" s="321"/>
      <c r="BT292" s="321"/>
      <c r="BU292" s="280">
        <f t="shared" si="129"/>
        <v>0</v>
      </c>
      <c r="BV292" s="322"/>
      <c r="BW292" s="320"/>
      <c r="BX292" s="320"/>
      <c r="BY292" s="320"/>
      <c r="BZ292" s="320"/>
      <c r="CA292" s="320"/>
      <c r="CB292" s="320"/>
      <c r="CC292" s="275">
        <f t="shared" si="130"/>
        <v>0</v>
      </c>
      <c r="CD292" s="98"/>
      <c r="CE292" s="91"/>
      <c r="CF292" s="91"/>
      <c r="CG292" s="91"/>
      <c r="CH292" s="266" t="str">
        <f t="shared" si="131"/>
        <v/>
      </c>
      <c r="CI292" s="320"/>
      <c r="CJ292" s="280">
        <f t="shared" si="132"/>
        <v>0</v>
      </c>
      <c r="CK292" s="83">
        <v>8.4</v>
      </c>
      <c r="CL292" s="91">
        <v>14.214</v>
      </c>
      <c r="CM292" s="91">
        <v>12.2</v>
      </c>
      <c r="CN292" s="91">
        <v>5.7930000000000001</v>
      </c>
      <c r="CO292" s="256">
        <f t="shared" si="133"/>
        <v>68.964285714285708</v>
      </c>
      <c r="CP292" s="320"/>
      <c r="CQ292" s="256">
        <f t="shared" si="134"/>
        <v>69.495234000000011</v>
      </c>
      <c r="CR292" s="256" t="str">
        <f>IF(CO292&lt;'Look Ups'!$AC$4,"Yes","No")</f>
        <v>No</v>
      </c>
      <c r="CS292" s="293">
        <f>IF(CR292="Yes",MIN(150,('Look Ups'!$AC$4-PSCR)/('Look Ups'!$AC$4-'Look Ups'!$AC$3)*100),0)</f>
        <v>0</v>
      </c>
      <c r="CT292" s="83"/>
      <c r="CU292" s="91"/>
      <c r="CV292" s="91"/>
      <c r="CW292" s="91"/>
      <c r="CX292" s="256" t="str">
        <f t="shared" si="135"/>
        <v/>
      </c>
      <c r="CY292" s="293">
        <f>IF(PUSCR&lt;'Look Ups'!$AC$4,MIN(150,('Look Ups'!$AC$4-PUSCR)/('Look Ups'!$AC$4-'Look Ups'!$AC$3)*100),0)</f>
        <v>0</v>
      </c>
      <c r="CZ292" s="275">
        <f>IF(PUSCR&lt;'Look Ups'!$AC$4,USCRF*(USCRL1+USCRL2)/4+(USCRMG-USCRF/2)*(USCRL1+USCRL2)/3,0)</f>
        <v>0</v>
      </c>
      <c r="DA292" s="294">
        <f t="shared" si="136"/>
        <v>1</v>
      </c>
      <c r="DB292" s="256">
        <f t="shared" si="137"/>
        <v>44.720224999999992</v>
      </c>
      <c r="DC292" s="256">
        <f t="shared" si="138"/>
        <v>1</v>
      </c>
      <c r="DD292" s="256">
        <f t="shared" si="139"/>
        <v>13.356619999999999</v>
      </c>
      <c r="DE292" s="256">
        <f>IF(AZ292&gt;0,'Look Ups'!$S$3,0)</f>
        <v>1</v>
      </c>
      <c r="DF292" s="256">
        <f t="shared" si="140"/>
        <v>0</v>
      </c>
      <c r="DG292" s="256">
        <f t="shared" si="141"/>
        <v>0</v>
      </c>
      <c r="DH292" s="256">
        <f t="shared" si="142"/>
        <v>0</v>
      </c>
      <c r="DI292" s="280">
        <f t="shared" si="143"/>
        <v>0</v>
      </c>
      <c r="DJ292" s="295" t="str">
        <f t="shared" si="144"/>
        <v>valid</v>
      </c>
      <c r="DK292" s="266" t="str">
        <f t="shared" si="145"/>
        <v>-</v>
      </c>
      <c r="DL292" s="267" t="str">
        <f t="shared" si="146"/>
        <v>MGScr</v>
      </c>
      <c r="DM292" s="294">
        <f t="shared" si="147"/>
        <v>58.076844999999992</v>
      </c>
      <c r="DN292" s="256">
        <f>IF(MSASP&gt;0,'Look Ups'!$AI$4*(ZVAL*MSASP-RSAG),0)</f>
        <v>0</v>
      </c>
      <c r="DO292" s="256">
        <f>IF(AND(MSASC&gt;0,(MSASC&gt;=0.36*RSAM)),('Look Ups'!$AI$3*(ZVAL*MSASC-RSAG)),(0))</f>
        <v>19.648514900000002</v>
      </c>
      <c r="DP292" s="256">
        <f>IF(MSASP&gt;0,'Look Ups'!$AI$5*(ZVAL*MSASP-RSAG),0)</f>
        <v>0</v>
      </c>
      <c r="DQ292" s="256">
        <f>IF(MSASC&gt;0,'Look Ups'!$AI$6*(MSASC-RSAG),0)</f>
        <v>3.929702980000001</v>
      </c>
      <c r="DR292" s="280">
        <f>'Look Ups'!$AI$7*MAX(IF(MSAUSC&gt;0,EUSC/100*(MSAUSC-RSAG),0),IF(CR292="Yes",ELSC/100*(MSASC-RSAG),0))</f>
        <v>0</v>
      </c>
      <c r="DS292" s="280">
        <f t="shared" si="148"/>
        <v>16.099280999999998</v>
      </c>
      <c r="DT292" s="296">
        <f t="shared" si="149"/>
        <v>77.725359900000001</v>
      </c>
      <c r="DU292" s="14"/>
    </row>
    <row r="293" spans="1:125" ht="15.6" customHeight="1" x14ac:dyDescent="0.3">
      <c r="A293" s="4"/>
      <c r="B293" s="365"/>
      <c r="C293" s="369" t="s">
        <v>976</v>
      </c>
      <c r="D293" s="370" t="s">
        <v>977</v>
      </c>
      <c r="E293" s="371" t="s">
        <v>755</v>
      </c>
      <c r="F293" s="252">
        <f t="shared" ca="1" si="120"/>
        <v>0.83099999999999996</v>
      </c>
      <c r="G293" s="252" t="str">
        <f ca="1">IF(OR(FLSCR="ERROR",FLSPI="ERROR"),"No",IF(TODAY()-'Look Ups'!$D$4*365&gt;I293,"WP Applied","Yes"))</f>
        <v>WP Applied</v>
      </c>
      <c r="H293" s="253" t="str">
        <f t="shared" si="121"/>
        <v>Main-Genoa-Spinnaker</v>
      </c>
      <c r="I293" s="1">
        <v>39324</v>
      </c>
      <c r="J293" s="1"/>
      <c r="K293" s="87" t="s">
        <v>978</v>
      </c>
      <c r="L293" s="87" t="s">
        <v>755</v>
      </c>
      <c r="M293" s="207"/>
      <c r="N293" s="88" t="s">
        <v>165</v>
      </c>
      <c r="O293" s="88"/>
      <c r="P293" s="89">
        <v>5.85</v>
      </c>
      <c r="Q293" s="90">
        <v>9.98</v>
      </c>
      <c r="R293" s="87"/>
      <c r="S293" s="256">
        <f t="shared" si="122"/>
        <v>0.24950000000000003</v>
      </c>
      <c r="T293" s="117">
        <v>0.08</v>
      </c>
      <c r="U293" s="117">
        <v>0</v>
      </c>
      <c r="V293" s="258">
        <f t="shared" si="123"/>
        <v>9.9</v>
      </c>
      <c r="W293" s="259">
        <f>IF(RL&gt;0,IF(RL&gt;'Look Ups'!Y$7,'Look Ups'!Y$8,('Look Ups'!Y$3*RL^3+'Look Ups'!Y$4*RL^2+'Look Ups'!Y$5*RL+'Look Ups'!Y$6)),0)</f>
        <v>0.29835586700000005</v>
      </c>
      <c r="X293" s="92">
        <v>2533</v>
      </c>
      <c r="Y293" s="263">
        <f ca="1">IF(WDATE&lt;(TODAY()-'Look Ups'!$D$4*365),-WM*'Look Ups'!$D$5/100,0)</f>
        <v>-379.95</v>
      </c>
      <c r="Z293" s="103"/>
      <c r="AA293" s="109"/>
      <c r="AB293" s="109"/>
      <c r="AC293" s="265">
        <f>WCD+NC*'Look Ups'!$AF$3</f>
        <v>0</v>
      </c>
      <c r="AD293" s="265">
        <f ca="1">IF(RL&lt;'Look Ups'!AM$3,'Look Ups'!AM$4,IF(RL&gt;'Look Ups'!AM$5,'Look Ups'!AM$6,(RL-'Look Ups'!AM$3)/('Look Ups'!AM$5-'Look Ups'!AM$3)*('Look Ups'!AM$6-'Look Ups'!AM$4)+'Look Ups'!AM$4))/100*WS</f>
        <v>395.3782727272727</v>
      </c>
      <c r="AE293" s="269">
        <f t="shared" ca="1" si="124"/>
        <v>2153.0500000000002</v>
      </c>
      <c r="AF293" s="267">
        <f t="shared" ca="1" si="125"/>
        <v>2153.0500000000002</v>
      </c>
      <c r="AG293" s="94" t="s">
        <v>145</v>
      </c>
      <c r="AH293" s="95" t="s">
        <v>146</v>
      </c>
      <c r="AI293" s="96" t="s">
        <v>147</v>
      </c>
      <c r="AJ293" s="218"/>
      <c r="AK293" s="273">
        <f>IF(C293="",0,VLOOKUP(AG293,'Look Ups'!$F$3:$G$6,2,0)*VLOOKUP(AH293,'Look Ups'!$I$3:$J$5,2,0)*VLOOKUP(AI293,'Look Ups'!$L$3:$M$7,2,0)*IF(AJ293="",1,VLOOKUP(AJ293,'Look Ups'!$O$3:$P$4,2,0)))</f>
        <v>1</v>
      </c>
      <c r="AL293" s="83">
        <v>11.33</v>
      </c>
      <c r="AM293" s="91">
        <v>11.24</v>
      </c>
      <c r="AN293" s="91">
        <v>4.0199999999999996</v>
      </c>
      <c r="AO293" s="91">
        <v>0.21</v>
      </c>
      <c r="AP293" s="91">
        <v>1.1400000000000001</v>
      </c>
      <c r="AQ293" s="91">
        <v>10.92</v>
      </c>
      <c r="AR293" s="91">
        <v>0.2</v>
      </c>
      <c r="AS293" s="91">
        <v>4.21</v>
      </c>
      <c r="AT293" s="91">
        <v>0.09</v>
      </c>
      <c r="AU293" s="91">
        <v>0</v>
      </c>
      <c r="AV293" s="91" t="s">
        <v>148</v>
      </c>
      <c r="AW293" s="97" t="s">
        <v>979</v>
      </c>
      <c r="AX293" s="256">
        <f t="shared" si="126"/>
        <v>11.01</v>
      </c>
      <c r="AY293" s="256">
        <f t="shared" si="127"/>
        <v>0</v>
      </c>
      <c r="AZ293" s="275">
        <f>IF(C293="",0,(0.5*(_ML1*LPM)+0.5*(_ML1*HB)+0.66*(P*PR)+0.66*(_ML2*RDM)+0.66*(E*ER))*VLOOKUP(BATT,'Look Ups'!$U$3:$V$4,2,0))</f>
        <v>34.111440000000002</v>
      </c>
      <c r="BA293" s="98"/>
      <c r="BB293" s="99"/>
      <c r="BC293" s="83">
        <v>10.220000000000001</v>
      </c>
      <c r="BD293" s="91">
        <v>3.29</v>
      </c>
      <c r="BE293" s="91">
        <v>3.64</v>
      </c>
      <c r="BF293" s="91">
        <v>0.08</v>
      </c>
      <c r="BG293" s="91">
        <v>9.27</v>
      </c>
      <c r="BH293" s="91"/>
      <c r="BI293" s="91"/>
      <c r="BJ293" s="91">
        <v>0.01</v>
      </c>
      <c r="BK293" s="91">
        <v>0.01</v>
      </c>
      <c r="BL293" s="97">
        <v>0</v>
      </c>
      <c r="BM293" s="275">
        <f t="shared" si="128"/>
        <v>17.132725999999998</v>
      </c>
      <c r="BN293" s="319"/>
      <c r="BO293" s="320"/>
      <c r="BP293" s="321"/>
      <c r="BQ293" s="321"/>
      <c r="BR293" s="320"/>
      <c r="BS293" s="321"/>
      <c r="BT293" s="321"/>
      <c r="BU293" s="280">
        <f t="shared" si="129"/>
        <v>0</v>
      </c>
      <c r="BV293" s="322"/>
      <c r="BW293" s="320"/>
      <c r="BX293" s="320"/>
      <c r="BY293" s="320"/>
      <c r="BZ293" s="320"/>
      <c r="CA293" s="320"/>
      <c r="CB293" s="320"/>
      <c r="CC293" s="275">
        <f t="shared" si="130"/>
        <v>0</v>
      </c>
      <c r="CD293" s="98">
        <v>8.0399999999999991</v>
      </c>
      <c r="CE293" s="91">
        <v>12.46</v>
      </c>
      <c r="CF293" s="91">
        <v>11.12</v>
      </c>
      <c r="CG293" s="91">
        <v>8.02</v>
      </c>
      <c r="CH293" s="266">
        <f t="shared" si="131"/>
        <v>99.75124378109453</v>
      </c>
      <c r="CI293" s="320"/>
      <c r="CJ293" s="280">
        <f t="shared" si="132"/>
        <v>78.835799999999992</v>
      </c>
      <c r="CK293" s="83"/>
      <c r="CL293" s="91"/>
      <c r="CM293" s="91"/>
      <c r="CN293" s="91"/>
      <c r="CO293" s="256" t="str">
        <f t="shared" si="133"/>
        <v/>
      </c>
      <c r="CP293" s="320"/>
      <c r="CQ293" s="256">
        <f t="shared" si="134"/>
        <v>0</v>
      </c>
      <c r="CR293" s="256" t="str">
        <f>IF(CO293&lt;'Look Ups'!$AC$4,"Yes","No")</f>
        <v>No</v>
      </c>
      <c r="CS293" s="293">
        <f>IF(CR293="Yes",MIN(150,('Look Ups'!$AC$4-PSCR)/('Look Ups'!$AC$4-'Look Ups'!$AC$3)*100),0)</f>
        <v>0</v>
      </c>
      <c r="CT293" s="83"/>
      <c r="CU293" s="91"/>
      <c r="CV293" s="91"/>
      <c r="CW293" s="91"/>
      <c r="CX293" s="256" t="str">
        <f t="shared" si="135"/>
        <v/>
      </c>
      <c r="CY293" s="293">
        <f>IF(PUSCR&lt;'Look Ups'!$AC$4,MIN(150,('Look Ups'!$AC$4-PUSCR)/('Look Ups'!$AC$4-'Look Ups'!$AC$3)*100),0)</f>
        <v>0</v>
      </c>
      <c r="CZ293" s="275">
        <f>IF(PUSCR&lt;'Look Ups'!$AC$4,USCRF*(USCRL1+USCRL2)/4+(USCRMG-USCRF/2)*(USCRL1+USCRL2)/3,0)</f>
        <v>0</v>
      </c>
      <c r="DA293" s="294">
        <f t="shared" si="136"/>
        <v>1</v>
      </c>
      <c r="DB293" s="256">
        <f t="shared" si="137"/>
        <v>34.111440000000002</v>
      </c>
      <c r="DC293" s="256">
        <f t="shared" si="138"/>
        <v>1</v>
      </c>
      <c r="DD293" s="256">
        <f t="shared" si="139"/>
        <v>17.132725999999998</v>
      </c>
      <c r="DE293" s="256">
        <f>IF(AZ293&gt;0,'Look Ups'!$S$3,0)</f>
        <v>1</v>
      </c>
      <c r="DF293" s="256">
        <f t="shared" si="140"/>
        <v>0</v>
      </c>
      <c r="DG293" s="256">
        <f t="shared" si="141"/>
        <v>0</v>
      </c>
      <c r="DH293" s="256">
        <f t="shared" si="142"/>
        <v>0</v>
      </c>
      <c r="DI293" s="280">
        <f t="shared" si="143"/>
        <v>0</v>
      </c>
      <c r="DJ293" s="295" t="str">
        <f t="shared" si="144"/>
        <v>-</v>
      </c>
      <c r="DK293" s="266" t="str">
        <f t="shared" si="145"/>
        <v>valid</v>
      </c>
      <c r="DL293" s="267" t="str">
        <f t="shared" si="146"/>
        <v>MGSP</v>
      </c>
      <c r="DM293" s="294">
        <f t="shared" si="147"/>
        <v>51.244166</v>
      </c>
      <c r="DN293" s="256">
        <f>IF(MSASP&gt;0,'Look Ups'!$AI$4*(ZVAL*MSASP-RSAG),0)</f>
        <v>18.510922199999996</v>
      </c>
      <c r="DO293" s="256">
        <f>IF(AND(MSASC&gt;0,(MSASC&gt;=0.36*RSAM)),('Look Ups'!$AI$3*(ZVAL*MSASC-RSAG)),(0))</f>
        <v>0</v>
      </c>
      <c r="DP293" s="256">
        <f>IF(MSASP&gt;0,'Look Ups'!$AI$5*(ZVAL*MSASP-RSAG),0)</f>
        <v>17.276860719999998</v>
      </c>
      <c r="DQ293" s="256">
        <f>IF(MSASC&gt;0,'Look Ups'!$AI$6*(MSASC-RSAG),0)</f>
        <v>0</v>
      </c>
      <c r="DR293" s="280">
        <f>'Look Ups'!$AI$7*MAX(IF(MSAUSC&gt;0,EUSC/100*(MSAUSC-RSAG),0),IF(CR293="Yes",ELSC/100*(MSASC-RSAG),0))</f>
        <v>0</v>
      </c>
      <c r="DS293" s="280">
        <f t="shared" si="148"/>
        <v>12.280118400000001</v>
      </c>
      <c r="DT293" s="296">
        <f t="shared" si="149"/>
        <v>69.755088199999989</v>
      </c>
      <c r="DU293" s="14"/>
    </row>
    <row r="294" spans="1:125" ht="15.6" customHeight="1" x14ac:dyDescent="0.3">
      <c r="A294" s="4"/>
      <c r="B294" s="365"/>
      <c r="C294" s="369" t="s">
        <v>980</v>
      </c>
      <c r="D294" s="370" t="s">
        <v>916</v>
      </c>
      <c r="E294" s="371" t="s">
        <v>376</v>
      </c>
      <c r="F294" s="252">
        <f t="shared" ca="1" si="120"/>
        <v>0.93899999999999995</v>
      </c>
      <c r="G294" s="252" t="str">
        <f ca="1">IF(OR(FLSCR="ERROR",FLSPI="ERROR"),"No",IF(TODAY()-'Look Ups'!$D$4*365&gt;I294,"WP Applied","Yes"))</f>
        <v>WP Applied</v>
      </c>
      <c r="H294" s="253" t="str">
        <f t="shared" si="121"/>
        <v>Main-Genoa-Spinnaker</v>
      </c>
      <c r="I294" s="1">
        <v>39692</v>
      </c>
      <c r="J294" s="1"/>
      <c r="K294" s="87" t="s">
        <v>981</v>
      </c>
      <c r="L294" s="87" t="s">
        <v>182</v>
      </c>
      <c r="M294" s="207"/>
      <c r="N294" s="88" t="s">
        <v>143</v>
      </c>
      <c r="O294" s="88" t="s">
        <v>154</v>
      </c>
      <c r="P294" s="89"/>
      <c r="Q294" s="90">
        <v>8.7249999999999996</v>
      </c>
      <c r="R294" s="87"/>
      <c r="S294" s="256">
        <f t="shared" si="122"/>
        <v>0.21812500000000001</v>
      </c>
      <c r="T294" s="117">
        <v>0.15</v>
      </c>
      <c r="U294" s="117">
        <v>0</v>
      </c>
      <c r="V294" s="258">
        <f t="shared" si="123"/>
        <v>8.5749999999999993</v>
      </c>
      <c r="W294" s="259">
        <f>IF(RL&gt;0,IF(RL&gt;'Look Ups'!Y$7,'Look Ups'!Y$8,('Look Ups'!Y$3*RL^3+'Look Ups'!Y$4*RL^2+'Look Ups'!Y$5*RL+'Look Ups'!Y$6)),0)</f>
        <v>0.29557695360937503</v>
      </c>
      <c r="X294" s="92">
        <v>1563</v>
      </c>
      <c r="Y294" s="263">
        <f ca="1">IF(WDATE&lt;(TODAY()-'Look Ups'!$D$4*365),-WM*'Look Ups'!$D$5/100,0)</f>
        <v>-234.45</v>
      </c>
      <c r="Z294" s="103"/>
      <c r="AA294" s="109"/>
      <c r="AB294" s="109"/>
      <c r="AC294" s="265">
        <f>WCD+NC*'Look Ups'!$AF$3</f>
        <v>0</v>
      </c>
      <c r="AD294" s="265">
        <f ca="1">IF(RL&lt;'Look Ups'!AM$3,'Look Ups'!AM$4,IF(RL&gt;'Look Ups'!AM$5,'Look Ups'!AM$6,(RL-'Look Ups'!AM$3)/('Look Ups'!AM$5-'Look Ups'!AM$3)*('Look Ups'!AM$6-'Look Ups'!AM$4)+'Look Ups'!AM$4))/100*WS</f>
        <v>307.98204545454547</v>
      </c>
      <c r="AE294" s="269">
        <f t="shared" ca="1" si="124"/>
        <v>1328.55</v>
      </c>
      <c r="AF294" s="267">
        <f t="shared" ca="1" si="125"/>
        <v>1328.55</v>
      </c>
      <c r="AG294" s="94" t="s">
        <v>145</v>
      </c>
      <c r="AH294" s="95" t="s">
        <v>146</v>
      </c>
      <c r="AI294" s="96" t="s">
        <v>147</v>
      </c>
      <c r="AJ294" s="218"/>
      <c r="AK294" s="273">
        <f>IF(C294="",0,VLOOKUP(AG294,'Look Ups'!$F$3:$G$6,2,0)*VLOOKUP(AH294,'Look Ups'!$I$3:$J$5,2,0)*VLOOKUP(AI294,'Look Ups'!$L$3:$M$7,2,0)*IF(AJ294="",1,VLOOKUP(AJ294,'Look Ups'!$O$3:$P$4,2,0)))</f>
        <v>1</v>
      </c>
      <c r="AL294" s="83">
        <v>11.33</v>
      </c>
      <c r="AM294" s="91">
        <v>11.46</v>
      </c>
      <c r="AN294" s="91">
        <v>3.45</v>
      </c>
      <c r="AO294" s="91">
        <v>7.0000000000000007E-2</v>
      </c>
      <c r="AP294" s="91">
        <v>1.77</v>
      </c>
      <c r="AQ294" s="91">
        <v>10.95</v>
      </c>
      <c r="AR294" s="91">
        <v>0.14000000000000001</v>
      </c>
      <c r="AS294" s="91">
        <v>3.64</v>
      </c>
      <c r="AT294" s="91">
        <v>0.03</v>
      </c>
      <c r="AU294" s="91">
        <v>0.5</v>
      </c>
      <c r="AV294" s="91" t="s">
        <v>148</v>
      </c>
      <c r="AW294" s="97">
        <v>9</v>
      </c>
      <c r="AX294" s="256">
        <f t="shared" si="126"/>
        <v>10.979999999999999</v>
      </c>
      <c r="AY294" s="256">
        <f t="shared" si="127"/>
        <v>2.0531249999999996</v>
      </c>
      <c r="AZ294" s="275">
        <f>IF(C294="",0,(0.5*(_ML1*LPM)+0.5*(_ML1*HB)+0.66*(P*PR)+0.66*(_ML2*RDM)+0.66*(E*ER))*VLOOKUP(BATT,'Look Ups'!$U$3:$V$4,2,0))</f>
        <v>34.412224000000002</v>
      </c>
      <c r="BA294" s="98"/>
      <c r="BB294" s="99"/>
      <c r="BC294" s="83">
        <v>9.6</v>
      </c>
      <c r="BD294" s="91">
        <v>3.87</v>
      </c>
      <c r="BE294" s="91">
        <v>4.25</v>
      </c>
      <c r="BF294" s="91">
        <v>7.0000000000000007E-2</v>
      </c>
      <c r="BG294" s="91">
        <v>8.75</v>
      </c>
      <c r="BH294" s="91"/>
      <c r="BI294" s="91"/>
      <c r="BJ294" s="91">
        <v>0.04</v>
      </c>
      <c r="BK294" s="91">
        <v>0</v>
      </c>
      <c r="BL294" s="97">
        <v>1</v>
      </c>
      <c r="BM294" s="275">
        <f t="shared" si="128"/>
        <v>19.003350000000001</v>
      </c>
      <c r="BN294" s="319"/>
      <c r="BO294" s="320"/>
      <c r="BP294" s="321"/>
      <c r="BQ294" s="321"/>
      <c r="BR294" s="320"/>
      <c r="BS294" s="321"/>
      <c r="BT294" s="321"/>
      <c r="BU294" s="280">
        <f t="shared" si="129"/>
        <v>0</v>
      </c>
      <c r="BV294" s="322"/>
      <c r="BW294" s="320"/>
      <c r="BX294" s="320"/>
      <c r="BY294" s="320"/>
      <c r="BZ294" s="320"/>
      <c r="CA294" s="320"/>
      <c r="CB294" s="320"/>
      <c r="CC294" s="275">
        <f t="shared" si="130"/>
        <v>0</v>
      </c>
      <c r="CD294" s="98">
        <v>8.33</v>
      </c>
      <c r="CE294" s="91">
        <v>12.1</v>
      </c>
      <c r="CF294" s="91">
        <v>11</v>
      </c>
      <c r="CG294" s="91">
        <v>7.6</v>
      </c>
      <c r="CH294" s="266">
        <f t="shared" si="131"/>
        <v>91.23649459783914</v>
      </c>
      <c r="CI294" s="320"/>
      <c r="CJ294" s="280">
        <f t="shared" si="132"/>
        <v>74.555250000000001</v>
      </c>
      <c r="CK294" s="83"/>
      <c r="CL294" s="91"/>
      <c r="CM294" s="91"/>
      <c r="CN294" s="91"/>
      <c r="CO294" s="256" t="str">
        <f t="shared" si="133"/>
        <v/>
      </c>
      <c r="CP294" s="320"/>
      <c r="CQ294" s="256">
        <f t="shared" si="134"/>
        <v>0</v>
      </c>
      <c r="CR294" s="256" t="str">
        <f>IF(CO294&lt;'Look Ups'!$AC$4,"Yes","No")</f>
        <v>No</v>
      </c>
      <c r="CS294" s="293">
        <f>IF(CR294="Yes",MIN(150,('Look Ups'!$AC$4-PSCR)/('Look Ups'!$AC$4-'Look Ups'!$AC$3)*100),0)</f>
        <v>0</v>
      </c>
      <c r="CT294" s="83"/>
      <c r="CU294" s="91"/>
      <c r="CV294" s="91"/>
      <c r="CW294" s="91"/>
      <c r="CX294" s="256" t="str">
        <f t="shared" si="135"/>
        <v/>
      </c>
      <c r="CY294" s="293">
        <f>IF(PUSCR&lt;'Look Ups'!$AC$4,MIN(150,('Look Ups'!$AC$4-PUSCR)/('Look Ups'!$AC$4-'Look Ups'!$AC$3)*100),0)</f>
        <v>0</v>
      </c>
      <c r="CZ294" s="275">
        <f>IF(PUSCR&lt;'Look Ups'!$AC$4,USCRF*(USCRL1+USCRL2)/4+(USCRMG-USCRF/2)*(USCRL1+USCRL2)/3,0)</f>
        <v>0</v>
      </c>
      <c r="DA294" s="294">
        <f t="shared" si="136"/>
        <v>1</v>
      </c>
      <c r="DB294" s="256">
        <f t="shared" si="137"/>
        <v>36.465349000000003</v>
      </c>
      <c r="DC294" s="256">
        <f t="shared" si="138"/>
        <v>1</v>
      </c>
      <c r="DD294" s="256">
        <f t="shared" si="139"/>
        <v>19.003350000000001</v>
      </c>
      <c r="DE294" s="256">
        <f>IF(AZ294&gt;0,'Look Ups'!$S$3,0)</f>
        <v>1</v>
      </c>
      <c r="DF294" s="256">
        <f t="shared" si="140"/>
        <v>0</v>
      </c>
      <c r="DG294" s="256">
        <f t="shared" si="141"/>
        <v>0</v>
      </c>
      <c r="DH294" s="256">
        <f t="shared" si="142"/>
        <v>0</v>
      </c>
      <c r="DI294" s="280">
        <f t="shared" si="143"/>
        <v>0</v>
      </c>
      <c r="DJ294" s="295" t="str">
        <f t="shared" si="144"/>
        <v>-</v>
      </c>
      <c r="DK294" s="266" t="str">
        <f t="shared" si="145"/>
        <v>valid</v>
      </c>
      <c r="DL294" s="267" t="str">
        <f t="shared" si="146"/>
        <v>MGSP</v>
      </c>
      <c r="DM294" s="294">
        <f t="shared" si="147"/>
        <v>55.468699000000001</v>
      </c>
      <c r="DN294" s="256">
        <f>IF(MSASP&gt;0,'Look Ups'!$AI$4*(ZVAL*MSASP-RSAG),0)</f>
        <v>16.665569999999999</v>
      </c>
      <c r="DO294" s="256">
        <f>IF(AND(MSASC&gt;0,(MSASC&gt;=0.36*RSAM)),('Look Ups'!$AI$3*(ZVAL*MSASC-RSAG)),(0))</f>
        <v>0</v>
      </c>
      <c r="DP294" s="256">
        <f>IF(MSASP&gt;0,'Look Ups'!$AI$5*(ZVAL*MSASP-RSAG),0)</f>
        <v>15.554532000000002</v>
      </c>
      <c r="DQ294" s="256">
        <f>IF(MSASC&gt;0,'Look Ups'!$AI$6*(MSASC-RSAG),0)</f>
        <v>0</v>
      </c>
      <c r="DR294" s="280">
        <f>'Look Ups'!$AI$7*MAX(IF(MSAUSC&gt;0,EUSC/100*(MSAUSC-RSAG),0),IF(CR294="Yes",ELSC/100*(MSASC-RSAG),0))</f>
        <v>0</v>
      </c>
      <c r="DS294" s="280">
        <f t="shared" si="148"/>
        <v>13.12752564</v>
      </c>
      <c r="DT294" s="296">
        <f t="shared" si="149"/>
        <v>72.134269000000003</v>
      </c>
      <c r="DU294" s="14"/>
    </row>
    <row r="295" spans="1:125" ht="15.6" customHeight="1" x14ac:dyDescent="0.3">
      <c r="A295" s="4"/>
      <c r="B295" s="365"/>
      <c r="C295" s="369" t="s">
        <v>982</v>
      </c>
      <c r="D295" s="370" t="s">
        <v>983</v>
      </c>
      <c r="E295" s="371" t="s">
        <v>769</v>
      </c>
      <c r="F295" s="252">
        <f t="shared" ca="1" si="120"/>
        <v>0.80300000000000005</v>
      </c>
      <c r="G295" s="252" t="str">
        <f ca="1">IF(OR(FLSCR="ERROR",FLSPI="ERROR"),"No",IF(TODAY()-'Look Ups'!$D$4*365&gt;I295,"WP Applied","Yes"))</f>
        <v>WP Applied</v>
      </c>
      <c r="H295" s="253" t="str">
        <f t="shared" si="121"/>
        <v>Main-Genoa-Screacher (Upwind)-Spinnaker</v>
      </c>
      <c r="I295" s="1">
        <v>36609</v>
      </c>
      <c r="J295" s="1"/>
      <c r="K295" s="87" t="s">
        <v>805</v>
      </c>
      <c r="L295" s="87" t="s">
        <v>270</v>
      </c>
      <c r="M295" s="207"/>
      <c r="N295" s="88" t="s">
        <v>165</v>
      </c>
      <c r="O295" s="88"/>
      <c r="P295" s="89">
        <v>6</v>
      </c>
      <c r="Q295" s="90">
        <v>9.84</v>
      </c>
      <c r="R295" s="87"/>
      <c r="S295" s="256">
        <f t="shared" si="122"/>
        <v>0.246</v>
      </c>
      <c r="T295" s="117">
        <v>0.05</v>
      </c>
      <c r="U295" s="117">
        <v>0</v>
      </c>
      <c r="V295" s="258">
        <f t="shared" si="123"/>
        <v>9.7899999999999991</v>
      </c>
      <c r="W295" s="259">
        <f>IF(RL&gt;0,IF(RL&gt;'Look Ups'!Y$7,'Look Ups'!Y$8,('Look Ups'!Y$3*RL^3+'Look Ups'!Y$4*RL^2+'Look Ups'!Y$5*RL+'Look Ups'!Y$6)),0)</f>
        <v>0.29818761338700006</v>
      </c>
      <c r="X295" s="92">
        <v>2892</v>
      </c>
      <c r="Y295" s="263">
        <f ca="1">IF(WDATE&lt;(TODAY()-'Look Ups'!$D$4*365),-WM*'Look Ups'!$D$5/100,0)</f>
        <v>-433.8</v>
      </c>
      <c r="Z295" s="103"/>
      <c r="AA295" s="109"/>
      <c r="AB295" s="109"/>
      <c r="AC295" s="265">
        <f>WCD+NC*'Look Ups'!$AF$3</f>
        <v>0</v>
      </c>
      <c r="AD295" s="265">
        <f ca="1">IF(RL&lt;'Look Ups'!AM$3,'Look Ups'!AM$4,IF(RL&gt;'Look Ups'!AM$5,'Look Ups'!AM$6,(RL-'Look Ups'!AM$3)/('Look Ups'!AM$5-'Look Ups'!AM$3)*('Look Ups'!AM$6-'Look Ups'!AM$4)+'Look Ups'!AM$4))/100*WS</f>
        <v>461.2477090909091</v>
      </c>
      <c r="AE295" s="269">
        <f t="shared" ca="1" si="124"/>
        <v>2458.1999999999998</v>
      </c>
      <c r="AF295" s="267">
        <f t="shared" ca="1" si="125"/>
        <v>2458.1999999999998</v>
      </c>
      <c r="AG295" s="94" t="s">
        <v>145</v>
      </c>
      <c r="AH295" s="95" t="s">
        <v>146</v>
      </c>
      <c r="AI295" s="96" t="s">
        <v>147</v>
      </c>
      <c r="AJ295" s="218"/>
      <c r="AK295" s="273">
        <f>IF(C295="",0,VLOOKUP(AG295,'Look Ups'!$F$3:$G$6,2,0)*VLOOKUP(AH295,'Look Ups'!$I$3:$J$5,2,0)*VLOOKUP(AI295,'Look Ups'!$L$3:$M$7,2,0)*IF(AJ295="",1,VLOOKUP(AJ295,'Look Ups'!$O$3:$P$4,2,0)))</f>
        <v>1</v>
      </c>
      <c r="AL295" s="83">
        <v>11.9</v>
      </c>
      <c r="AM295" s="91">
        <v>11.86</v>
      </c>
      <c r="AN295" s="91">
        <v>4</v>
      </c>
      <c r="AO295" s="91">
        <v>0.25</v>
      </c>
      <c r="AP295" s="91">
        <v>1.35</v>
      </c>
      <c r="AQ295" s="91">
        <v>11.45</v>
      </c>
      <c r="AR295" s="91">
        <v>0.1</v>
      </c>
      <c r="AS295" s="91">
        <v>4.1500000000000004</v>
      </c>
      <c r="AT295" s="91">
        <v>0.14000000000000001</v>
      </c>
      <c r="AU295" s="91">
        <v>0</v>
      </c>
      <c r="AV295" s="91" t="s">
        <v>148</v>
      </c>
      <c r="AW295" s="97">
        <v>0</v>
      </c>
      <c r="AX295" s="256">
        <f t="shared" si="126"/>
        <v>11.59</v>
      </c>
      <c r="AY295" s="256">
        <f t="shared" si="127"/>
        <v>0</v>
      </c>
      <c r="AZ295" s="275">
        <f>IF(C295="",0,(0.5*(_ML1*LPM)+0.5*(_ML1*HB)+0.66*(P*PR)+0.66*(_ML2*RDM)+0.66*(E*ER))*VLOOKUP(BATT,'Look Ups'!$U$3:$V$4,2,0))</f>
        <v>36.993920000000003</v>
      </c>
      <c r="BA295" s="98"/>
      <c r="BB295" s="99"/>
      <c r="BC295" s="83">
        <v>11.3</v>
      </c>
      <c r="BD295" s="91">
        <v>3.79</v>
      </c>
      <c r="BE295" s="91">
        <v>4.4000000000000004</v>
      </c>
      <c r="BF295" s="91">
        <v>0.1</v>
      </c>
      <c r="BG295" s="91">
        <v>9.8000000000000007</v>
      </c>
      <c r="BH295" s="91"/>
      <c r="BI295" s="91"/>
      <c r="BJ295" s="91">
        <v>-0.15</v>
      </c>
      <c r="BK295" s="91">
        <v>-0.43</v>
      </c>
      <c r="BL295" s="97"/>
      <c r="BM295" s="275">
        <f t="shared" si="128"/>
        <v>17.526760000000007</v>
      </c>
      <c r="BN295" s="319"/>
      <c r="BO295" s="320"/>
      <c r="BP295" s="321"/>
      <c r="BQ295" s="321"/>
      <c r="BR295" s="320"/>
      <c r="BS295" s="321"/>
      <c r="BT295" s="321"/>
      <c r="BU295" s="280">
        <f t="shared" si="129"/>
        <v>0</v>
      </c>
      <c r="BV295" s="322"/>
      <c r="BW295" s="320"/>
      <c r="BX295" s="320"/>
      <c r="BY295" s="320"/>
      <c r="BZ295" s="320"/>
      <c r="CA295" s="320"/>
      <c r="CB295" s="320"/>
      <c r="CC295" s="275">
        <f t="shared" si="130"/>
        <v>0</v>
      </c>
      <c r="CD295" s="98">
        <v>6.45</v>
      </c>
      <c r="CE295" s="91">
        <v>13.3</v>
      </c>
      <c r="CF295" s="91">
        <v>12.6</v>
      </c>
      <c r="CG295" s="91">
        <v>6.3</v>
      </c>
      <c r="CH295" s="266">
        <f t="shared" si="131"/>
        <v>97.674418604651152</v>
      </c>
      <c r="CI295" s="320"/>
      <c r="CJ295" s="280">
        <f t="shared" si="132"/>
        <v>68.311250000000001</v>
      </c>
      <c r="CK295" s="83">
        <v>7</v>
      </c>
      <c r="CL295" s="91">
        <v>12.1</v>
      </c>
      <c r="CM295" s="91">
        <v>10.9</v>
      </c>
      <c r="CN295" s="91">
        <v>3.55</v>
      </c>
      <c r="CO295" s="256">
        <f t="shared" si="133"/>
        <v>50.714285714285708</v>
      </c>
      <c r="CP295" s="320"/>
      <c r="CQ295" s="256">
        <f t="shared" si="134"/>
        <v>40.633333333333333</v>
      </c>
      <c r="CR295" s="256" t="str">
        <f>IF(CO295&lt;'Look Ups'!$AC$4,"Yes","No")</f>
        <v>Yes</v>
      </c>
      <c r="CS295" s="293">
        <f>IF(CR295="Yes",MIN(150,('Look Ups'!$AC$4-PSCR)/('Look Ups'!$AC$4-'Look Ups'!$AC$3)*100),0)</f>
        <v>25.714285714285833</v>
      </c>
      <c r="CT295" s="83"/>
      <c r="CU295" s="91"/>
      <c r="CV295" s="91"/>
      <c r="CW295" s="91"/>
      <c r="CX295" s="256" t="str">
        <f t="shared" si="135"/>
        <v/>
      </c>
      <c r="CY295" s="293">
        <f>IF(PUSCR&lt;'Look Ups'!$AC$4,MIN(150,('Look Ups'!$AC$4-PUSCR)/('Look Ups'!$AC$4-'Look Ups'!$AC$3)*100),0)</f>
        <v>0</v>
      </c>
      <c r="CZ295" s="275">
        <f>IF(PUSCR&lt;'Look Ups'!$AC$4,USCRF*(USCRL1+USCRL2)/4+(USCRMG-USCRF/2)*(USCRL1+USCRL2)/3,0)</f>
        <v>0</v>
      </c>
      <c r="DA295" s="294">
        <f t="shared" si="136"/>
        <v>1</v>
      </c>
      <c r="DB295" s="256">
        <f t="shared" si="137"/>
        <v>36.993920000000003</v>
      </c>
      <c r="DC295" s="256">
        <f t="shared" si="138"/>
        <v>1</v>
      </c>
      <c r="DD295" s="256">
        <f t="shared" si="139"/>
        <v>17.526760000000007</v>
      </c>
      <c r="DE295" s="256">
        <f>IF(AZ295&gt;0,'Look Ups'!$S$3,0)</f>
        <v>1</v>
      </c>
      <c r="DF295" s="256">
        <f t="shared" si="140"/>
        <v>0</v>
      </c>
      <c r="DG295" s="256">
        <f t="shared" si="141"/>
        <v>0</v>
      </c>
      <c r="DH295" s="256">
        <f t="shared" si="142"/>
        <v>0</v>
      </c>
      <c r="DI295" s="280">
        <f t="shared" si="143"/>
        <v>0</v>
      </c>
      <c r="DJ295" s="295" t="str">
        <f t="shared" si="144"/>
        <v>valid</v>
      </c>
      <c r="DK295" s="266" t="str">
        <f t="shared" si="145"/>
        <v>valid</v>
      </c>
      <c r="DL295" s="267" t="str">
        <f t="shared" si="146"/>
        <v>MGScrSP</v>
      </c>
      <c r="DM295" s="294">
        <f t="shared" si="147"/>
        <v>54.520680000000013</v>
      </c>
      <c r="DN295" s="256">
        <f>IF(MSASP&gt;0,'Look Ups'!$AI$4*(ZVAL*MSASP-RSAG),0)</f>
        <v>15.235346999999997</v>
      </c>
      <c r="DO295" s="256">
        <f>IF(AND(MSASC&gt;0,(MSASC&gt;=0.36*RSAM)),('Look Ups'!$AI$3*(ZVAL*MSASC-RSAG)),(0))</f>
        <v>8.087300666666664</v>
      </c>
      <c r="DP295" s="256">
        <f>IF(MSASP&gt;0,'Look Ups'!$AI$5*(ZVAL*MSASP-RSAG),0)</f>
        <v>14.219657199999999</v>
      </c>
      <c r="DQ295" s="256">
        <f>IF(MSASC&gt;0,'Look Ups'!$AI$6*(MSASC-RSAG),0)</f>
        <v>1.6174601333333329</v>
      </c>
      <c r="DR295" s="280">
        <f>'Look Ups'!$AI$7*MAX(IF(MSAUSC&gt;0,EUSC/100*(MSAUSC-RSAG),0),IF(CR295="Yes",ELSC/100*(MSASC-RSAG),0))</f>
        <v>1.4854225714285778</v>
      </c>
      <c r="DS295" s="280">
        <f t="shared" si="148"/>
        <v>13.317811200000001</v>
      </c>
      <c r="DT295" s="296">
        <f t="shared" si="149"/>
        <v>71.843219904761924</v>
      </c>
      <c r="DU295" s="14"/>
    </row>
    <row r="296" spans="1:125" ht="15.6" customHeight="1" x14ac:dyDescent="0.3">
      <c r="A296" s="4"/>
      <c r="B296" s="365"/>
      <c r="C296" s="369" t="s">
        <v>984</v>
      </c>
      <c r="D296" s="370" t="s">
        <v>985</v>
      </c>
      <c r="E296" s="371" t="s">
        <v>986</v>
      </c>
      <c r="F296" s="252">
        <f t="shared" ca="1" si="120"/>
        <v>0.78500000000000003</v>
      </c>
      <c r="G296" s="252" t="str">
        <f ca="1">IF(OR(FLSCR="ERROR",FLSPI="ERROR"),"No",IF(TODAY()-'Look Ups'!$D$4*365&gt;I296,"WP Applied","Yes"))</f>
        <v>WP Applied</v>
      </c>
      <c r="H296" s="253" t="str">
        <f t="shared" si="121"/>
        <v>Main-Genoa-Screacher-Spinnaker</v>
      </c>
      <c r="I296" s="1">
        <v>38304</v>
      </c>
      <c r="J296" s="1"/>
      <c r="K296" s="87" t="s">
        <v>657</v>
      </c>
      <c r="L296" s="87" t="s">
        <v>641</v>
      </c>
      <c r="M296" s="207"/>
      <c r="N296" s="88" t="s">
        <v>271</v>
      </c>
      <c r="O296" s="88"/>
      <c r="P296" s="89"/>
      <c r="Q296" s="90">
        <v>7.81</v>
      </c>
      <c r="R296" s="87"/>
      <c r="S296" s="256">
        <f t="shared" si="122"/>
        <v>0.19525000000000001</v>
      </c>
      <c r="T296" s="117">
        <v>0.15</v>
      </c>
      <c r="U296" s="117">
        <v>0</v>
      </c>
      <c r="V296" s="258">
        <f t="shared" si="123"/>
        <v>7.6599999999999993</v>
      </c>
      <c r="W296" s="259">
        <f>IF(RL&gt;0,IF(RL&gt;'Look Ups'!Y$7,'Look Ups'!Y$8,('Look Ups'!Y$3*RL^3+'Look Ups'!Y$4*RL^2+'Look Ups'!Y$5*RL+'Look Ups'!Y$6)),0)</f>
        <v>0.292556178168</v>
      </c>
      <c r="X296" s="92">
        <v>1380</v>
      </c>
      <c r="Y296" s="263">
        <f ca="1">IF(WDATE&lt;(TODAY()-'Look Ups'!$D$4*365),-WM*'Look Ups'!$D$5/100,0)</f>
        <v>-207</v>
      </c>
      <c r="Z296" s="103"/>
      <c r="AA296" s="109"/>
      <c r="AB296" s="109"/>
      <c r="AC296" s="265">
        <f>WCD+NC*'Look Ups'!$AF$3</f>
        <v>0</v>
      </c>
      <c r="AD296" s="265">
        <f ca="1">IF(RL&lt;'Look Ups'!AM$3,'Look Ups'!AM$4,IF(RL&gt;'Look Ups'!AM$5,'Look Ups'!AM$6,(RL-'Look Ups'!AM$3)/('Look Ups'!AM$5-'Look Ups'!AM$3)*('Look Ups'!AM$6-'Look Ups'!AM$4)+'Look Ups'!AM$4))/100*WS</f>
        <v>310.9516363636364</v>
      </c>
      <c r="AE296" s="269">
        <f t="shared" ca="1" si="124"/>
        <v>1173</v>
      </c>
      <c r="AF296" s="267">
        <f t="shared" ca="1" si="125"/>
        <v>1173</v>
      </c>
      <c r="AG296" s="94" t="s">
        <v>145</v>
      </c>
      <c r="AH296" s="95" t="s">
        <v>146</v>
      </c>
      <c r="AI296" s="96" t="s">
        <v>147</v>
      </c>
      <c r="AJ296" s="218"/>
      <c r="AK296" s="273">
        <f>IF(C296="",0,VLOOKUP(AG296,'Look Ups'!$F$3:$G$6,2,0)*VLOOKUP(AH296,'Look Ups'!$I$3:$J$5,2,0)*VLOOKUP(AI296,'Look Ups'!$L$3:$M$7,2,0)*IF(AJ296="",1,VLOOKUP(AJ296,'Look Ups'!$O$3:$P$4,2,0)))</f>
        <v>1</v>
      </c>
      <c r="AL296" s="83">
        <v>9.32</v>
      </c>
      <c r="AM296" s="91">
        <v>8.8800000000000008</v>
      </c>
      <c r="AN296" s="91">
        <v>3.31</v>
      </c>
      <c r="AO296" s="91">
        <v>0.84</v>
      </c>
      <c r="AP296" s="91">
        <v>0.57999999999999996</v>
      </c>
      <c r="AQ296" s="91">
        <v>8.9700000000000006</v>
      </c>
      <c r="AR296" s="91">
        <v>0.12</v>
      </c>
      <c r="AS296" s="91">
        <v>3.47</v>
      </c>
      <c r="AT296" s="91">
        <v>0</v>
      </c>
      <c r="AU296" s="91"/>
      <c r="AV296" s="91" t="s">
        <v>148</v>
      </c>
      <c r="AW296" s="97">
        <v>0</v>
      </c>
      <c r="AX296" s="256">
        <f t="shared" si="126"/>
        <v>8.9700000000000006</v>
      </c>
      <c r="AY296" s="256">
        <f t="shared" si="127"/>
        <v>0</v>
      </c>
      <c r="AZ296" s="275">
        <f>IF(C296="",0,(0.5*(_ML1*LPM)+0.5*(_ML1*HB)+0.66*(P*PR)+0.66*(_ML2*RDM)+0.66*(E*ER))*VLOOKUP(BATT,'Look Ups'!$U$3:$V$4,2,0))</f>
        <v>23.448687999999997</v>
      </c>
      <c r="BA296" s="98"/>
      <c r="BB296" s="99"/>
      <c r="BC296" s="83">
        <v>8.3000000000000007</v>
      </c>
      <c r="BD296" s="91">
        <v>2.5300000000000002</v>
      </c>
      <c r="BE296" s="91">
        <v>2.78</v>
      </c>
      <c r="BF296" s="91">
        <v>0.09</v>
      </c>
      <c r="BG296" s="91">
        <v>7.59</v>
      </c>
      <c r="BH296" s="91"/>
      <c r="BI296" s="91"/>
      <c r="BJ296" s="91">
        <v>0</v>
      </c>
      <c r="BK296" s="91">
        <v>0</v>
      </c>
      <c r="BL296" s="97">
        <v>0</v>
      </c>
      <c r="BM296" s="275">
        <f t="shared" si="128"/>
        <v>10.664632000000001</v>
      </c>
      <c r="BN296" s="319"/>
      <c r="BO296" s="320"/>
      <c r="BP296" s="321"/>
      <c r="BQ296" s="321"/>
      <c r="BR296" s="320"/>
      <c r="BS296" s="321"/>
      <c r="BT296" s="321"/>
      <c r="BU296" s="280">
        <f t="shared" si="129"/>
        <v>0</v>
      </c>
      <c r="BV296" s="322"/>
      <c r="BW296" s="320"/>
      <c r="BX296" s="320"/>
      <c r="BY296" s="320"/>
      <c r="BZ296" s="320"/>
      <c r="CA296" s="320"/>
      <c r="CB296" s="320"/>
      <c r="CC296" s="275">
        <f t="shared" si="130"/>
        <v>0</v>
      </c>
      <c r="CD296" s="98">
        <v>6.89</v>
      </c>
      <c r="CE296" s="91">
        <v>9.11</v>
      </c>
      <c r="CF296" s="91">
        <v>11.31</v>
      </c>
      <c r="CG296" s="91">
        <v>5.68</v>
      </c>
      <c r="CH296" s="266">
        <f t="shared" si="131"/>
        <v>82.438316400580547</v>
      </c>
      <c r="CI296" s="320"/>
      <c r="CJ296" s="280">
        <f t="shared" si="132"/>
        <v>50.38635</v>
      </c>
      <c r="CK296" s="83">
        <v>5</v>
      </c>
      <c r="CL296" s="91">
        <v>6.93</v>
      </c>
      <c r="CM296" s="91">
        <v>9.1</v>
      </c>
      <c r="CN296" s="91">
        <v>2.87</v>
      </c>
      <c r="CO296" s="256">
        <f t="shared" si="133"/>
        <v>57.400000000000006</v>
      </c>
      <c r="CP296" s="320"/>
      <c r="CQ296" s="256">
        <f t="shared" si="134"/>
        <v>22.014533333333336</v>
      </c>
      <c r="CR296" s="256" t="str">
        <f>IF(CO296&lt;'Look Ups'!$AC$4,"Yes","No")</f>
        <v>No</v>
      </c>
      <c r="CS296" s="293">
        <f>IF(CR296="Yes",MIN(150,('Look Ups'!$AC$4-PSCR)/('Look Ups'!$AC$4-'Look Ups'!$AC$3)*100),0)</f>
        <v>0</v>
      </c>
      <c r="CT296" s="83"/>
      <c r="CU296" s="91"/>
      <c r="CV296" s="91"/>
      <c r="CW296" s="91"/>
      <c r="CX296" s="256" t="str">
        <f t="shared" si="135"/>
        <v/>
      </c>
      <c r="CY296" s="293">
        <f>IF(PUSCR&lt;'Look Ups'!$AC$4,MIN(150,('Look Ups'!$AC$4-PUSCR)/('Look Ups'!$AC$4-'Look Ups'!$AC$3)*100),0)</f>
        <v>0</v>
      </c>
      <c r="CZ296" s="275">
        <f>IF(PUSCR&lt;'Look Ups'!$AC$4,USCRF*(USCRL1+USCRL2)/4+(USCRMG-USCRF/2)*(USCRL1+USCRL2)/3,0)</f>
        <v>0</v>
      </c>
      <c r="DA296" s="294">
        <f t="shared" si="136"/>
        <v>1</v>
      </c>
      <c r="DB296" s="256">
        <f t="shared" si="137"/>
        <v>23.448687999999997</v>
      </c>
      <c r="DC296" s="256">
        <f t="shared" si="138"/>
        <v>1</v>
      </c>
      <c r="DD296" s="256">
        <f t="shared" si="139"/>
        <v>10.664632000000001</v>
      </c>
      <c r="DE296" s="256">
        <f>IF(AZ296&gt;0,'Look Ups'!$S$3,0)</f>
        <v>1</v>
      </c>
      <c r="DF296" s="256">
        <f t="shared" si="140"/>
        <v>0</v>
      </c>
      <c r="DG296" s="256">
        <f t="shared" si="141"/>
        <v>0</v>
      </c>
      <c r="DH296" s="256">
        <f t="shared" si="142"/>
        <v>0</v>
      </c>
      <c r="DI296" s="280">
        <f t="shared" si="143"/>
        <v>0</v>
      </c>
      <c r="DJ296" s="295" t="str">
        <f t="shared" si="144"/>
        <v>valid</v>
      </c>
      <c r="DK296" s="266" t="str">
        <f t="shared" si="145"/>
        <v>valid</v>
      </c>
      <c r="DL296" s="267" t="str">
        <f t="shared" si="146"/>
        <v>MGScrSP</v>
      </c>
      <c r="DM296" s="294">
        <f t="shared" si="147"/>
        <v>34.113320000000002</v>
      </c>
      <c r="DN296" s="256">
        <f>IF(MSASP&gt;0,'Look Ups'!$AI$4*(ZVAL*MSASP-RSAG),0)</f>
        <v>11.916515399999998</v>
      </c>
      <c r="DO296" s="256">
        <f>IF(AND(MSASC&gt;0,(MSASC&gt;=0.36*RSAM)),('Look Ups'!$AI$3*(ZVAL*MSASC-RSAG)),(0))</f>
        <v>3.9724654666666672</v>
      </c>
      <c r="DP296" s="256">
        <f>IF(MSASP&gt;0,'Look Ups'!$AI$5*(ZVAL*MSASP-RSAG),0)</f>
        <v>11.122081039999999</v>
      </c>
      <c r="DQ296" s="256">
        <f>IF(MSASC&gt;0,'Look Ups'!$AI$6*(MSASC-RSAG),0)</f>
        <v>0.79449309333333351</v>
      </c>
      <c r="DR296" s="280">
        <f>'Look Ups'!$AI$7*MAX(IF(MSAUSC&gt;0,EUSC/100*(MSAUSC-RSAG),0),IF(CR296="Yes",ELSC/100*(MSASC-RSAG),0))</f>
        <v>0</v>
      </c>
      <c r="DS296" s="280">
        <f t="shared" si="148"/>
        <v>8.4415276799999983</v>
      </c>
      <c r="DT296" s="296">
        <f t="shared" si="149"/>
        <v>46.029894133333336</v>
      </c>
      <c r="DU296" s="14"/>
    </row>
    <row r="297" spans="1:125" ht="15.6" customHeight="1" x14ac:dyDescent="0.3">
      <c r="A297" s="4"/>
      <c r="B297" s="365"/>
      <c r="C297" s="369" t="s">
        <v>987</v>
      </c>
      <c r="D297" s="370" t="s">
        <v>440</v>
      </c>
      <c r="E297" s="371" t="s">
        <v>988</v>
      </c>
      <c r="F297" s="252">
        <f t="shared" ca="1" si="120"/>
        <v>1.5429999999999999</v>
      </c>
      <c r="G297" s="252" t="str">
        <f ca="1">IF(OR(FLSCR="ERROR",FLSPI="ERROR"),"No",IF(TODAY()-'Look Ups'!$D$4*365&gt;I297,"WP Applied","Yes"))</f>
        <v>WP Applied</v>
      </c>
      <c r="H297" s="253" t="str">
        <f t="shared" si="121"/>
        <v>Main-Genoa-Screacher (Upwind)</v>
      </c>
      <c r="I297" s="1">
        <v>41002</v>
      </c>
      <c r="J297" s="1">
        <v>41002</v>
      </c>
      <c r="K297" s="87"/>
      <c r="L297" s="87" t="s">
        <v>159</v>
      </c>
      <c r="M297" s="207"/>
      <c r="N297" s="88" t="s">
        <v>143</v>
      </c>
      <c r="O297" s="88"/>
      <c r="P297" s="89"/>
      <c r="Q297" s="90">
        <v>18.28</v>
      </c>
      <c r="R297" s="87"/>
      <c r="S297" s="256">
        <f t="shared" si="122"/>
        <v>0.45700000000000007</v>
      </c>
      <c r="T297" s="117"/>
      <c r="U297" s="117">
        <v>0</v>
      </c>
      <c r="V297" s="258">
        <f t="shared" si="123"/>
        <v>18.28</v>
      </c>
      <c r="W297" s="259">
        <f>IF(RL&gt;0,IF(RL&gt;'Look Ups'!Y$7,'Look Ups'!Y$8,('Look Ups'!Y$3*RL^3+'Look Ups'!Y$4*RL^2+'Look Ups'!Y$5*RL+'Look Ups'!Y$6)),0)</f>
        <v>0.3</v>
      </c>
      <c r="X297" s="92">
        <v>6062</v>
      </c>
      <c r="Y297" s="263">
        <f ca="1">IF(WDATE&lt;(TODAY()-'Look Ups'!$D$4*365),-WM*'Look Ups'!$D$5/100,0)</f>
        <v>-909.3</v>
      </c>
      <c r="Z297" s="103"/>
      <c r="AA297" s="109"/>
      <c r="AB297" s="109"/>
      <c r="AC297" s="265">
        <f>WCD+NC*'Look Ups'!$AF$3</f>
        <v>0</v>
      </c>
      <c r="AD297" s="265">
        <f ca="1">IF(RL&lt;'Look Ups'!AM$3,'Look Ups'!AM$4,IF(RL&gt;'Look Ups'!AM$5,'Look Ups'!AM$6,(RL-'Look Ups'!AM$3)/('Look Ups'!AM$5-'Look Ups'!AM$3)*('Look Ups'!AM$6-'Look Ups'!AM$4)+'Look Ups'!AM$4))/100*WS</f>
        <v>515.27</v>
      </c>
      <c r="AE297" s="269">
        <f t="shared" ca="1" si="124"/>
        <v>5152.7</v>
      </c>
      <c r="AF297" s="267">
        <f t="shared" ca="1" si="125"/>
        <v>5152.7</v>
      </c>
      <c r="AG297" s="94" t="s">
        <v>145</v>
      </c>
      <c r="AH297" s="95" t="s">
        <v>146</v>
      </c>
      <c r="AI297" s="96" t="s">
        <v>147</v>
      </c>
      <c r="AJ297" s="218"/>
      <c r="AK297" s="273">
        <f>IF(C297="",0,VLOOKUP(AG297,'Look Ups'!$F$3:$G$6,2,0)*VLOOKUP(AH297,'Look Ups'!$I$3:$J$5,2,0)*VLOOKUP(AI297,'Look Ups'!$L$3:$M$7,2,0)*IF(AJ297="",1,VLOOKUP(AJ297,'Look Ups'!$O$3:$P$4,2,0)))</f>
        <v>1</v>
      </c>
      <c r="AL297" s="83">
        <v>28.28</v>
      </c>
      <c r="AM297" s="91">
        <v>27.7</v>
      </c>
      <c r="AN297" s="91">
        <v>7.78</v>
      </c>
      <c r="AO297" s="91">
        <v>3.98</v>
      </c>
      <c r="AP297" s="91">
        <v>0.9</v>
      </c>
      <c r="AQ297" s="91">
        <v>27.53</v>
      </c>
      <c r="AR297" s="91">
        <v>0.26</v>
      </c>
      <c r="AS297" s="91">
        <v>8</v>
      </c>
      <c r="AT297" s="91">
        <v>7.0000000000000007E-2</v>
      </c>
      <c r="AU297" s="91">
        <v>1.42</v>
      </c>
      <c r="AV297" s="91" t="s">
        <v>148</v>
      </c>
      <c r="AW297" s="97">
        <v>0</v>
      </c>
      <c r="AX297" s="256">
        <f t="shared" si="126"/>
        <v>27.6</v>
      </c>
      <c r="AY297" s="256">
        <f t="shared" si="127"/>
        <v>14.659725</v>
      </c>
      <c r="AZ297" s="275">
        <f>IF(C297="",0,(0.5*(_ML1*LPM)+0.5*(_ML1*HB)+0.66*(P*PR)+0.66*(_ML2*RDM)+0.66*(E*ER))*VLOOKUP(BATT,'Look Ups'!$U$3:$V$4,2,0))</f>
        <v>187.83394800000002</v>
      </c>
      <c r="BA297" s="98"/>
      <c r="BB297" s="99"/>
      <c r="BC297" s="83">
        <v>31.1</v>
      </c>
      <c r="BD297" s="91">
        <v>12</v>
      </c>
      <c r="BE297" s="91">
        <v>13.4</v>
      </c>
      <c r="BF297" s="91">
        <v>0.85</v>
      </c>
      <c r="BG297" s="91">
        <v>27.6</v>
      </c>
      <c r="BH297" s="91"/>
      <c r="BI297" s="91"/>
      <c r="BJ297" s="91">
        <v>-0.43</v>
      </c>
      <c r="BK297" s="91"/>
      <c r="BL297" s="97">
        <v>0</v>
      </c>
      <c r="BM297" s="275">
        <f t="shared" si="128"/>
        <v>186.28452000000004</v>
      </c>
      <c r="BN297" s="319"/>
      <c r="BO297" s="320"/>
      <c r="BP297" s="321"/>
      <c r="BQ297" s="321"/>
      <c r="BR297" s="320"/>
      <c r="BS297" s="321"/>
      <c r="BT297" s="321"/>
      <c r="BU297" s="280">
        <f t="shared" si="129"/>
        <v>0</v>
      </c>
      <c r="BV297" s="322"/>
      <c r="BW297" s="320"/>
      <c r="BX297" s="320"/>
      <c r="BY297" s="320"/>
      <c r="BZ297" s="320"/>
      <c r="CA297" s="320"/>
      <c r="CB297" s="320"/>
      <c r="CC297" s="275">
        <f t="shared" si="130"/>
        <v>0</v>
      </c>
      <c r="CD297" s="98"/>
      <c r="CE297" s="91"/>
      <c r="CF297" s="91"/>
      <c r="CG297" s="91"/>
      <c r="CH297" s="266" t="str">
        <f t="shared" si="131"/>
        <v/>
      </c>
      <c r="CI297" s="320"/>
      <c r="CJ297" s="280">
        <f t="shared" si="132"/>
        <v>0</v>
      </c>
      <c r="CK297" s="83">
        <v>17</v>
      </c>
      <c r="CL297" s="91">
        <v>30.5</v>
      </c>
      <c r="CM297" s="91">
        <v>27.8</v>
      </c>
      <c r="CN297" s="91">
        <v>8.5500000000000007</v>
      </c>
      <c r="CO297" s="256">
        <f t="shared" si="133"/>
        <v>50.294117647058826</v>
      </c>
      <c r="CP297" s="320"/>
      <c r="CQ297" s="256">
        <f t="shared" si="134"/>
        <v>248.74666666666667</v>
      </c>
      <c r="CR297" s="256" t="str">
        <f>IF(CO297&lt;'Look Ups'!$AC$4,"Yes","No")</f>
        <v>Yes</v>
      </c>
      <c r="CS297" s="293">
        <f>IF(CR297="Yes",MIN(150,('Look Ups'!$AC$4-PSCR)/('Look Ups'!$AC$4-'Look Ups'!$AC$3)*100),0)</f>
        <v>34.117647058823479</v>
      </c>
      <c r="CT297" s="83"/>
      <c r="CU297" s="91"/>
      <c r="CV297" s="91"/>
      <c r="CW297" s="91"/>
      <c r="CX297" s="256" t="str">
        <f t="shared" si="135"/>
        <v/>
      </c>
      <c r="CY297" s="293">
        <f>IF(PUSCR&lt;'Look Ups'!$AC$4,MIN(150,('Look Ups'!$AC$4-PUSCR)/('Look Ups'!$AC$4-'Look Ups'!$AC$3)*100),0)</f>
        <v>0</v>
      </c>
      <c r="CZ297" s="275">
        <f>IF(PUSCR&lt;'Look Ups'!$AC$4,USCRF*(USCRL1+USCRL2)/4+(USCRMG-USCRF/2)*(USCRL1+USCRL2)/3,0)</f>
        <v>0</v>
      </c>
      <c r="DA297" s="294">
        <f t="shared" si="136"/>
        <v>1</v>
      </c>
      <c r="DB297" s="256">
        <f t="shared" si="137"/>
        <v>202.49367300000003</v>
      </c>
      <c r="DC297" s="256">
        <f t="shared" si="138"/>
        <v>1</v>
      </c>
      <c r="DD297" s="256">
        <f t="shared" si="139"/>
        <v>186.28452000000004</v>
      </c>
      <c r="DE297" s="256">
        <f>IF(AZ297&gt;0,'Look Ups'!$S$3,0)</f>
        <v>1</v>
      </c>
      <c r="DF297" s="256">
        <f t="shared" si="140"/>
        <v>0</v>
      </c>
      <c r="DG297" s="256">
        <f t="shared" si="141"/>
        <v>0</v>
      </c>
      <c r="DH297" s="256">
        <f t="shared" si="142"/>
        <v>0</v>
      </c>
      <c r="DI297" s="280">
        <f t="shared" si="143"/>
        <v>0</v>
      </c>
      <c r="DJ297" s="295" t="str">
        <f t="shared" si="144"/>
        <v>valid</v>
      </c>
      <c r="DK297" s="266" t="str">
        <f t="shared" si="145"/>
        <v>-</v>
      </c>
      <c r="DL297" s="267" t="str">
        <f t="shared" si="146"/>
        <v>MGScr</v>
      </c>
      <c r="DM297" s="294">
        <f t="shared" si="147"/>
        <v>388.7781930000001</v>
      </c>
      <c r="DN297" s="256">
        <f>IF(MSASP&gt;0,'Look Ups'!$AI$4*(ZVAL*MSASP-RSAG),0)</f>
        <v>0</v>
      </c>
      <c r="DO297" s="256">
        <f>IF(AND(MSASC&gt;0,(MSASC&gt;=0.36*RSAM)),('Look Ups'!$AI$3*(ZVAL*MSASC-RSAG)),(0))</f>
        <v>21.861751333333316</v>
      </c>
      <c r="DP297" s="256">
        <f>IF(MSASP&gt;0,'Look Ups'!$AI$5*(ZVAL*MSASP-RSAG),0)</f>
        <v>0</v>
      </c>
      <c r="DQ297" s="256">
        <f>IF(MSASC&gt;0,'Look Ups'!$AI$6*(MSASC-RSAG),0)</f>
        <v>4.3723502666666647</v>
      </c>
      <c r="DR297" s="280">
        <f>'Look Ups'!$AI$7*MAX(IF(MSAUSC&gt;0,EUSC/100*(MSAUSC-RSAG),0),IF(CR297="Yes",ELSC/100*(MSASC-RSAG),0))</f>
        <v>5.3276536862744983</v>
      </c>
      <c r="DS297" s="280">
        <f t="shared" si="148"/>
        <v>72.897722280000011</v>
      </c>
      <c r="DT297" s="296">
        <f t="shared" si="149"/>
        <v>415.96759801960792</v>
      </c>
      <c r="DU297" s="14"/>
    </row>
    <row r="298" spans="1:125" ht="15.6" customHeight="1" x14ac:dyDescent="0.3">
      <c r="A298" s="4"/>
      <c r="B298" s="365"/>
      <c r="C298" s="369" t="s">
        <v>989</v>
      </c>
      <c r="D298" s="370" t="s">
        <v>990</v>
      </c>
      <c r="E298" s="371" t="s">
        <v>991</v>
      </c>
      <c r="F298" s="252">
        <f t="shared" ca="1" si="120"/>
        <v>0.82799999999999996</v>
      </c>
      <c r="G298" s="252" t="str">
        <f ca="1">IF(OR(FLSCR="ERROR",FLSPI="ERROR"),"No",IF(TODAY()-'Look Ups'!$D$4*365&gt;I298,"WP Applied","Yes"))</f>
        <v>WP Applied</v>
      </c>
      <c r="H298" s="253" t="str">
        <f t="shared" si="121"/>
        <v>Main-Genoa-Spinnaker</v>
      </c>
      <c r="I298" s="1">
        <v>35509</v>
      </c>
      <c r="J298" s="1"/>
      <c r="K298" s="87" t="s">
        <v>715</v>
      </c>
      <c r="L298" s="87" t="s">
        <v>270</v>
      </c>
      <c r="M298" s="207"/>
      <c r="N298" s="88" t="s">
        <v>165</v>
      </c>
      <c r="O298" s="88"/>
      <c r="P298" s="89">
        <v>7.3</v>
      </c>
      <c r="Q298" s="90">
        <v>11.79</v>
      </c>
      <c r="R298" s="87"/>
      <c r="S298" s="256">
        <f t="shared" si="122"/>
        <v>0.29475000000000001</v>
      </c>
      <c r="T298" s="117">
        <v>0</v>
      </c>
      <c r="U298" s="117">
        <v>0</v>
      </c>
      <c r="V298" s="258">
        <f t="shared" si="123"/>
        <v>11.79</v>
      </c>
      <c r="W298" s="259">
        <f>IF(RL&gt;0,IF(RL&gt;'Look Ups'!Y$7,'Look Ups'!Y$8,('Look Ups'!Y$3*RL^3+'Look Ups'!Y$4*RL^2+'Look Ups'!Y$5*RL+'Look Ups'!Y$6)),0)</f>
        <v>0.29988158518699998</v>
      </c>
      <c r="X298" s="92">
        <v>5660</v>
      </c>
      <c r="Y298" s="263">
        <f ca="1">IF(WDATE&lt;(TODAY()-'Look Ups'!$D$4*365),-WM*'Look Ups'!$D$5/100,0)</f>
        <v>-849</v>
      </c>
      <c r="Z298" s="103"/>
      <c r="AA298" s="109"/>
      <c r="AB298" s="109"/>
      <c r="AC298" s="265">
        <f>WCD+NC*'Look Ups'!$AF$3</f>
        <v>0</v>
      </c>
      <c r="AD298" s="265">
        <f ca="1">IF(RL&lt;'Look Ups'!AM$3,'Look Ups'!AM$4,IF(RL&gt;'Look Ups'!AM$5,'Look Ups'!AM$6,(RL-'Look Ups'!AM$3)/('Look Ups'!AM$5-'Look Ups'!AM$3)*('Look Ups'!AM$6-'Look Ups'!AM$4)+'Look Ups'!AM$4))/100*WS</f>
        <v>552.82763636363643</v>
      </c>
      <c r="AE298" s="269">
        <f t="shared" ca="1" si="124"/>
        <v>4811</v>
      </c>
      <c r="AF298" s="267">
        <f t="shared" ca="1" si="125"/>
        <v>4811</v>
      </c>
      <c r="AG298" s="94" t="s">
        <v>145</v>
      </c>
      <c r="AH298" s="95" t="s">
        <v>146</v>
      </c>
      <c r="AI298" s="96" t="s">
        <v>147</v>
      </c>
      <c r="AJ298" s="218"/>
      <c r="AK298" s="273">
        <f>IF(C298="",0,VLOOKUP(AG298,'Look Ups'!$F$3:$G$6,2,0)*VLOOKUP(AH298,'Look Ups'!$I$3:$J$5,2,0)*VLOOKUP(AI298,'Look Ups'!$L$3:$M$7,2,0)*IF(AJ298="",1,VLOOKUP(AJ298,'Look Ups'!$O$3:$P$4,2,0)))</f>
        <v>1</v>
      </c>
      <c r="AL298" s="83">
        <v>14.27</v>
      </c>
      <c r="AM298" s="91">
        <v>14.2</v>
      </c>
      <c r="AN298" s="91">
        <v>4.95</v>
      </c>
      <c r="AO298" s="91">
        <v>0.2</v>
      </c>
      <c r="AP298" s="91">
        <v>1.0900000000000001</v>
      </c>
      <c r="AQ298" s="91">
        <v>13.62</v>
      </c>
      <c r="AR298" s="91">
        <v>0.125</v>
      </c>
      <c r="AS298" s="91">
        <v>5.17</v>
      </c>
      <c r="AT298" s="91">
        <v>0</v>
      </c>
      <c r="AU298" s="91">
        <v>0</v>
      </c>
      <c r="AV298" s="91" t="s">
        <v>148</v>
      </c>
      <c r="AW298" s="97">
        <v>0</v>
      </c>
      <c r="AX298" s="256">
        <f t="shared" si="126"/>
        <v>13.62</v>
      </c>
      <c r="AY298" s="256">
        <f t="shared" si="127"/>
        <v>0</v>
      </c>
      <c r="AZ298" s="275">
        <f>IF(C298="",0,(0.5*(_ML1*LPM)+0.5*(_ML1*HB)+0.66*(P*PR)+0.66*(_ML2*RDM)+0.66*(E*ER))*VLOOKUP(BATT,'Look Ups'!$U$3:$V$4,2,0))</f>
        <v>48.084379999999996</v>
      </c>
      <c r="BA298" s="98"/>
      <c r="BB298" s="99"/>
      <c r="BC298" s="83">
        <v>13.5</v>
      </c>
      <c r="BD298" s="91">
        <v>5.92</v>
      </c>
      <c r="BE298" s="91">
        <v>6.73</v>
      </c>
      <c r="BF298" s="91">
        <v>0</v>
      </c>
      <c r="BG298" s="91">
        <v>11.8</v>
      </c>
      <c r="BH298" s="91"/>
      <c r="BI298" s="91"/>
      <c r="BJ298" s="91">
        <v>-0.42</v>
      </c>
      <c r="BK298" s="91">
        <v>0</v>
      </c>
      <c r="BL298" s="97"/>
      <c r="BM298" s="275">
        <f t="shared" si="128"/>
        <v>36.689039999999999</v>
      </c>
      <c r="BN298" s="319"/>
      <c r="BO298" s="320"/>
      <c r="BP298" s="321"/>
      <c r="BQ298" s="321"/>
      <c r="BR298" s="320"/>
      <c r="BS298" s="321"/>
      <c r="BT298" s="321"/>
      <c r="BU298" s="280">
        <f t="shared" si="129"/>
        <v>0</v>
      </c>
      <c r="BV298" s="322"/>
      <c r="BW298" s="320"/>
      <c r="BX298" s="320"/>
      <c r="BY298" s="320"/>
      <c r="BZ298" s="320"/>
      <c r="CA298" s="320"/>
      <c r="CB298" s="320"/>
      <c r="CC298" s="275">
        <f t="shared" si="130"/>
        <v>0</v>
      </c>
      <c r="CD298" s="98">
        <v>10.7</v>
      </c>
      <c r="CE298" s="91">
        <v>15.28</v>
      </c>
      <c r="CF298" s="91">
        <v>15.27</v>
      </c>
      <c r="CG298" s="91">
        <v>11</v>
      </c>
      <c r="CH298" s="266">
        <f t="shared" si="131"/>
        <v>102.80373831775702</v>
      </c>
      <c r="CI298" s="320"/>
      <c r="CJ298" s="280">
        <f t="shared" si="132"/>
        <v>139.2570833333333</v>
      </c>
      <c r="CK298" s="83"/>
      <c r="CL298" s="91"/>
      <c r="CM298" s="91"/>
      <c r="CN298" s="91"/>
      <c r="CO298" s="256" t="str">
        <f t="shared" si="133"/>
        <v/>
      </c>
      <c r="CP298" s="320"/>
      <c r="CQ298" s="256">
        <f t="shared" si="134"/>
        <v>0</v>
      </c>
      <c r="CR298" s="256" t="str">
        <f>IF(CO298&lt;'Look Ups'!$AC$4,"Yes","No")</f>
        <v>No</v>
      </c>
      <c r="CS298" s="293">
        <f>IF(CR298="Yes",MIN(150,('Look Ups'!$AC$4-PSCR)/('Look Ups'!$AC$4-'Look Ups'!$AC$3)*100),0)</f>
        <v>0</v>
      </c>
      <c r="CT298" s="83"/>
      <c r="CU298" s="91"/>
      <c r="CV298" s="91"/>
      <c r="CW298" s="91"/>
      <c r="CX298" s="256" t="str">
        <f t="shared" si="135"/>
        <v/>
      </c>
      <c r="CY298" s="293">
        <f>IF(PUSCR&lt;'Look Ups'!$AC$4,MIN(150,('Look Ups'!$AC$4-PUSCR)/('Look Ups'!$AC$4-'Look Ups'!$AC$3)*100),0)</f>
        <v>0</v>
      </c>
      <c r="CZ298" s="275">
        <f>IF(PUSCR&lt;'Look Ups'!$AC$4,USCRF*(USCRL1+USCRL2)/4+(USCRMG-USCRF/2)*(USCRL1+USCRL2)/3,0)</f>
        <v>0</v>
      </c>
      <c r="DA298" s="294">
        <f t="shared" si="136"/>
        <v>1</v>
      </c>
      <c r="DB298" s="256">
        <f t="shared" si="137"/>
        <v>48.084379999999996</v>
      </c>
      <c r="DC298" s="256">
        <f t="shared" si="138"/>
        <v>1</v>
      </c>
      <c r="DD298" s="256">
        <f t="shared" si="139"/>
        <v>36.689039999999999</v>
      </c>
      <c r="DE298" s="256">
        <f>IF(AZ298&gt;0,'Look Ups'!$S$3,0)</f>
        <v>1</v>
      </c>
      <c r="DF298" s="256">
        <f t="shared" si="140"/>
        <v>0</v>
      </c>
      <c r="DG298" s="256">
        <f t="shared" si="141"/>
        <v>0</v>
      </c>
      <c r="DH298" s="256">
        <f t="shared" si="142"/>
        <v>0</v>
      </c>
      <c r="DI298" s="280">
        <f t="shared" si="143"/>
        <v>0</v>
      </c>
      <c r="DJ298" s="295" t="str">
        <f t="shared" si="144"/>
        <v>-</v>
      </c>
      <c r="DK298" s="266" t="str">
        <f t="shared" si="145"/>
        <v>valid</v>
      </c>
      <c r="DL298" s="267" t="str">
        <f t="shared" si="146"/>
        <v>MGSP</v>
      </c>
      <c r="DM298" s="294">
        <f t="shared" si="147"/>
        <v>84.773419999999987</v>
      </c>
      <c r="DN298" s="256">
        <f>IF(MSASP&gt;0,'Look Ups'!$AI$4*(ZVAL*MSASP-RSAG),0)</f>
        <v>30.770412999999987</v>
      </c>
      <c r="DO298" s="256">
        <f>IF(AND(MSASC&gt;0,(MSASC&gt;=0.36*RSAM)),('Look Ups'!$AI$3*(ZVAL*MSASC-RSAG)),(0))</f>
        <v>0</v>
      </c>
      <c r="DP298" s="256">
        <f>IF(MSASP&gt;0,'Look Ups'!$AI$5*(ZVAL*MSASP-RSAG),0)</f>
        <v>28.719052133333324</v>
      </c>
      <c r="DQ298" s="256">
        <f>IF(MSASC&gt;0,'Look Ups'!$AI$6*(MSASC-RSAG),0)</f>
        <v>0</v>
      </c>
      <c r="DR298" s="280">
        <f>'Look Ups'!$AI$7*MAX(IF(MSAUSC&gt;0,EUSC/100*(MSAUSC-RSAG),0),IF(CR298="Yes",ELSC/100*(MSASC-RSAG),0))</f>
        <v>0</v>
      </c>
      <c r="DS298" s="280">
        <f t="shared" si="148"/>
        <v>17.310376799999997</v>
      </c>
      <c r="DT298" s="296">
        <f t="shared" si="149"/>
        <v>115.54383299999998</v>
      </c>
      <c r="DU298" s="14"/>
    </row>
    <row r="299" spans="1:125" ht="15.6" customHeight="1" x14ac:dyDescent="0.3">
      <c r="A299" s="4"/>
      <c r="B299" s="365"/>
      <c r="C299" s="369" t="s">
        <v>992</v>
      </c>
      <c r="D299" s="370" t="s">
        <v>316</v>
      </c>
      <c r="E299" s="371" t="s">
        <v>993</v>
      </c>
      <c r="F299" s="252">
        <f t="shared" ca="1" si="120"/>
        <v>0.90900000000000003</v>
      </c>
      <c r="G299" s="252" t="str">
        <f ca="1">IF(OR(FLSCR="ERROR",FLSPI="ERROR"),"No",IF(TODAY()-'Look Ups'!$D$4*365&gt;I299,"WP Applied","Yes"))</f>
        <v>WP Applied</v>
      </c>
      <c r="H299" s="253" t="str">
        <f t="shared" si="121"/>
        <v>Main-Genoa-Screacher-Spinnaker</v>
      </c>
      <c r="I299" s="1">
        <v>38951</v>
      </c>
      <c r="J299" s="1"/>
      <c r="K299" s="87" t="s">
        <v>657</v>
      </c>
      <c r="L299" s="87" t="s">
        <v>671</v>
      </c>
      <c r="M299" s="207"/>
      <c r="N299" s="88" t="s">
        <v>143</v>
      </c>
      <c r="O299" s="88" t="s">
        <v>154</v>
      </c>
      <c r="P299" s="89"/>
      <c r="Q299" s="90">
        <v>8.31</v>
      </c>
      <c r="R299" s="87"/>
      <c r="S299" s="256">
        <f t="shared" si="122"/>
        <v>0.20775000000000002</v>
      </c>
      <c r="T299" s="117">
        <v>0.09</v>
      </c>
      <c r="U299" s="117">
        <v>0</v>
      </c>
      <c r="V299" s="258">
        <f t="shared" si="123"/>
        <v>8.2200000000000006</v>
      </c>
      <c r="W299" s="259">
        <f>IF(RL&gt;0,IF(RL&gt;'Look Ups'!Y$7,'Look Ups'!Y$8,('Look Ups'!Y$3*RL^3+'Look Ups'!Y$4*RL^2+'Look Ups'!Y$5*RL+'Look Ups'!Y$6)),0)</f>
        <v>0.29452284418399999</v>
      </c>
      <c r="X299" s="92">
        <v>1280</v>
      </c>
      <c r="Y299" s="263">
        <f ca="1">IF(WDATE&lt;(TODAY()-'Look Ups'!$D$4*365),-WM*'Look Ups'!$D$5/100,0)</f>
        <v>-192</v>
      </c>
      <c r="Z299" s="103"/>
      <c r="AA299" s="109"/>
      <c r="AB299" s="109"/>
      <c r="AC299" s="265">
        <f>WCD+NC*'Look Ups'!$AF$3</f>
        <v>0</v>
      </c>
      <c r="AD299" s="265">
        <f ca="1">IF(RL&lt;'Look Ups'!AM$3,'Look Ups'!AM$4,IF(RL&gt;'Look Ups'!AM$5,'Look Ups'!AM$6,(RL-'Look Ups'!AM$3)/('Look Ups'!AM$5-'Look Ups'!AM$3)*('Look Ups'!AM$6-'Look Ups'!AM$4)+'Look Ups'!AM$4))/100*WS</f>
        <v>266.26327272727269</v>
      </c>
      <c r="AE299" s="269">
        <f t="shared" ca="1" si="124"/>
        <v>1088</v>
      </c>
      <c r="AF299" s="267">
        <f t="shared" ca="1" si="125"/>
        <v>1088</v>
      </c>
      <c r="AG299" s="94" t="s">
        <v>145</v>
      </c>
      <c r="AH299" s="95" t="s">
        <v>146</v>
      </c>
      <c r="AI299" s="96" t="s">
        <v>147</v>
      </c>
      <c r="AJ299" s="218"/>
      <c r="AK299" s="273">
        <f>IF(C299="",0,VLOOKUP(AG299,'Look Ups'!$F$3:$G$6,2,0)*VLOOKUP(AH299,'Look Ups'!$I$3:$J$5,2,0)*VLOOKUP(AI299,'Look Ups'!$L$3:$M$7,2,0)*IF(AJ299="",1,VLOOKUP(AJ299,'Look Ups'!$O$3:$P$4,2,0)))</f>
        <v>1</v>
      </c>
      <c r="AL299" s="83">
        <v>10.54</v>
      </c>
      <c r="AM299" s="91">
        <v>10.29</v>
      </c>
      <c r="AN299" s="91">
        <v>3.13</v>
      </c>
      <c r="AO299" s="91">
        <v>0.75</v>
      </c>
      <c r="AP299" s="91">
        <v>0.64</v>
      </c>
      <c r="AQ299" s="91">
        <v>10.08</v>
      </c>
      <c r="AR299" s="91">
        <v>0.05</v>
      </c>
      <c r="AS299" s="91">
        <v>3.27</v>
      </c>
      <c r="AT299" s="91">
        <v>0.04</v>
      </c>
      <c r="AU299" s="91">
        <v>0.43</v>
      </c>
      <c r="AV299" s="91" t="s">
        <v>148</v>
      </c>
      <c r="AW299" s="97">
        <v>0</v>
      </c>
      <c r="AX299" s="256">
        <f t="shared" si="126"/>
        <v>10.119999999999999</v>
      </c>
      <c r="AY299" s="256">
        <f t="shared" si="127"/>
        <v>1.6254000000000002</v>
      </c>
      <c r="AZ299" s="275">
        <f>IF(C299="",0,(0.5*(_ML1*LPM)+0.5*(_ML1*HB)+0.66*(P*PR)+0.66*(_ML2*RDM)+0.66*(E*ER))*VLOOKUP(BATT,'Look Ups'!$U$3:$V$4,2,0))</f>
        <v>25.213064000000003</v>
      </c>
      <c r="BA299" s="98"/>
      <c r="BB299" s="99"/>
      <c r="BC299" s="83">
        <v>8.4700000000000006</v>
      </c>
      <c r="BD299" s="91">
        <v>2.83</v>
      </c>
      <c r="BE299" s="91">
        <v>3.15</v>
      </c>
      <c r="BF299" s="91">
        <v>0.11</v>
      </c>
      <c r="BG299" s="91">
        <v>7.55</v>
      </c>
      <c r="BH299" s="91"/>
      <c r="BI299" s="91"/>
      <c r="BJ299" s="91">
        <v>0.11</v>
      </c>
      <c r="BK299" s="91">
        <v>0</v>
      </c>
      <c r="BL299" s="97">
        <v>0</v>
      </c>
      <c r="BM299" s="275">
        <f t="shared" si="128"/>
        <v>12.761870000000002</v>
      </c>
      <c r="BN299" s="319"/>
      <c r="BO299" s="320"/>
      <c r="BP299" s="321"/>
      <c r="BQ299" s="321"/>
      <c r="BR299" s="320"/>
      <c r="BS299" s="321"/>
      <c r="BT299" s="321"/>
      <c r="BU299" s="280">
        <f t="shared" si="129"/>
        <v>0</v>
      </c>
      <c r="BV299" s="322"/>
      <c r="BW299" s="320"/>
      <c r="BX299" s="320"/>
      <c r="BY299" s="320"/>
      <c r="BZ299" s="320"/>
      <c r="CA299" s="320"/>
      <c r="CB299" s="320"/>
      <c r="CC299" s="275">
        <f t="shared" si="130"/>
        <v>0</v>
      </c>
      <c r="CD299" s="98">
        <v>8.64</v>
      </c>
      <c r="CE299" s="91">
        <v>11.45</v>
      </c>
      <c r="CF299" s="91">
        <v>10.3</v>
      </c>
      <c r="CG299" s="91">
        <v>8.4</v>
      </c>
      <c r="CH299" s="266">
        <f t="shared" si="131"/>
        <v>97.222222222222214</v>
      </c>
      <c r="CI299" s="320"/>
      <c r="CJ299" s="280">
        <f t="shared" si="132"/>
        <v>76.56</v>
      </c>
      <c r="CK299" s="83">
        <v>6.45</v>
      </c>
      <c r="CL299" s="91">
        <v>9.8000000000000007</v>
      </c>
      <c r="CM299" s="91">
        <v>8.35</v>
      </c>
      <c r="CN299" s="91">
        <v>3.65</v>
      </c>
      <c r="CO299" s="256">
        <f t="shared" si="133"/>
        <v>56.589147286821706</v>
      </c>
      <c r="CP299" s="320"/>
      <c r="CQ299" s="256">
        <f t="shared" si="134"/>
        <v>31.838124999999998</v>
      </c>
      <c r="CR299" s="256" t="str">
        <f>IF(CO299&lt;'Look Ups'!$AC$4,"Yes","No")</f>
        <v>No</v>
      </c>
      <c r="CS299" s="293">
        <f>IF(CR299="Yes",MIN(150,('Look Ups'!$AC$4-PSCR)/('Look Ups'!$AC$4-'Look Ups'!$AC$3)*100),0)</f>
        <v>0</v>
      </c>
      <c r="CT299" s="83"/>
      <c r="CU299" s="91"/>
      <c r="CV299" s="91"/>
      <c r="CW299" s="91"/>
      <c r="CX299" s="256" t="str">
        <f t="shared" si="135"/>
        <v/>
      </c>
      <c r="CY299" s="293">
        <f>IF(PUSCR&lt;'Look Ups'!$AC$4,MIN(150,('Look Ups'!$AC$4-PUSCR)/('Look Ups'!$AC$4-'Look Ups'!$AC$3)*100),0)</f>
        <v>0</v>
      </c>
      <c r="CZ299" s="275">
        <f>IF(PUSCR&lt;'Look Ups'!$AC$4,USCRF*(USCRL1+USCRL2)/4+(USCRMG-USCRF/2)*(USCRL1+USCRL2)/3,0)</f>
        <v>0</v>
      </c>
      <c r="DA299" s="294">
        <f t="shared" si="136"/>
        <v>1</v>
      </c>
      <c r="DB299" s="256">
        <f t="shared" si="137"/>
        <v>26.838464000000002</v>
      </c>
      <c r="DC299" s="256">
        <f t="shared" si="138"/>
        <v>1</v>
      </c>
      <c r="DD299" s="256">
        <f t="shared" si="139"/>
        <v>12.761870000000002</v>
      </c>
      <c r="DE299" s="256">
        <f>IF(AZ299&gt;0,'Look Ups'!$S$3,0)</f>
        <v>1</v>
      </c>
      <c r="DF299" s="256">
        <f t="shared" si="140"/>
        <v>0</v>
      </c>
      <c r="DG299" s="256">
        <f t="shared" si="141"/>
        <v>0</v>
      </c>
      <c r="DH299" s="256">
        <f t="shared" si="142"/>
        <v>0</v>
      </c>
      <c r="DI299" s="280">
        <f t="shared" si="143"/>
        <v>0</v>
      </c>
      <c r="DJ299" s="295" t="str">
        <f t="shared" si="144"/>
        <v>valid</v>
      </c>
      <c r="DK299" s="266" t="str">
        <f t="shared" si="145"/>
        <v>valid</v>
      </c>
      <c r="DL299" s="267" t="str">
        <f t="shared" si="146"/>
        <v>MGScrSP</v>
      </c>
      <c r="DM299" s="294">
        <f t="shared" si="147"/>
        <v>39.600334000000004</v>
      </c>
      <c r="DN299" s="256">
        <f>IF(MSASP&gt;0,'Look Ups'!$AI$4*(ZVAL*MSASP-RSAG),0)</f>
        <v>19.139438999999999</v>
      </c>
      <c r="DO299" s="256">
        <f>IF(AND(MSASC&gt;0,(MSASC&gt;=0.36*RSAM)),('Look Ups'!$AI$3*(ZVAL*MSASC-RSAG)),(0))</f>
        <v>6.6766892499999981</v>
      </c>
      <c r="DP299" s="256">
        <f>IF(MSASP&gt;0,'Look Ups'!$AI$5*(ZVAL*MSASP-RSAG),0)</f>
        <v>17.863476400000003</v>
      </c>
      <c r="DQ299" s="256">
        <f>IF(MSASC&gt;0,'Look Ups'!$AI$6*(MSASC-RSAG),0)</f>
        <v>1.3353378499999999</v>
      </c>
      <c r="DR299" s="280">
        <f>'Look Ups'!$AI$7*MAX(IF(MSAUSC&gt;0,EUSC/100*(MSAUSC-RSAG),0),IF(CR299="Yes",ELSC/100*(MSASC-RSAG),0))</f>
        <v>0</v>
      </c>
      <c r="DS299" s="280">
        <f t="shared" si="148"/>
        <v>9.6618470399999996</v>
      </c>
      <c r="DT299" s="296">
        <f t="shared" si="149"/>
        <v>58.799148250000009</v>
      </c>
      <c r="DU299" s="14"/>
    </row>
    <row r="300" spans="1:125" ht="15.6" customHeight="1" x14ac:dyDescent="0.3">
      <c r="A300" s="110"/>
      <c r="B300" s="365"/>
      <c r="C300" s="369" t="s">
        <v>994</v>
      </c>
      <c r="D300" s="370" t="s">
        <v>995</v>
      </c>
      <c r="E300" s="371" t="s">
        <v>996</v>
      </c>
      <c r="F300" s="252">
        <f t="shared" ca="1" si="120"/>
        <v>0.88400000000000001</v>
      </c>
      <c r="G300" s="252" t="str">
        <f ca="1">IF(OR(FLSCR="ERROR",FLSPI="ERROR"),"No",IF(TODAY()-'Look Ups'!$D$4*365&gt;I300,"WP Applied","Yes"))</f>
        <v>WP Applied</v>
      </c>
      <c r="H300" s="253" t="str">
        <f t="shared" si="121"/>
        <v>Main-Genoa-Spinnaker</v>
      </c>
      <c r="I300" s="1">
        <v>36982</v>
      </c>
      <c r="J300" s="1"/>
      <c r="K300" s="87" t="s">
        <v>997</v>
      </c>
      <c r="L300" s="87" t="s">
        <v>589</v>
      </c>
      <c r="M300" s="207"/>
      <c r="N300" s="88" t="s">
        <v>165</v>
      </c>
      <c r="O300" s="88"/>
      <c r="P300" s="89"/>
      <c r="Q300" s="90">
        <v>11.1</v>
      </c>
      <c r="R300" s="87"/>
      <c r="S300" s="256">
        <f t="shared" si="122"/>
        <v>0.27750000000000002</v>
      </c>
      <c r="T300" s="117">
        <v>0.14000000000000001</v>
      </c>
      <c r="U300" s="117">
        <v>0</v>
      </c>
      <c r="V300" s="258">
        <f t="shared" si="123"/>
        <v>10.959999999999999</v>
      </c>
      <c r="W300" s="259">
        <f>IF(RL&gt;0,IF(RL&gt;'Look Ups'!Y$7,'Look Ups'!Y$8,('Look Ups'!Y$3*RL^3+'Look Ups'!Y$4*RL^2+'Look Ups'!Y$5*RL+'Look Ups'!Y$6)),0)</f>
        <v>0.29949534028800001</v>
      </c>
      <c r="X300" s="92">
        <v>4044</v>
      </c>
      <c r="Y300" s="263">
        <f ca="1">IF(WDATE&lt;(TODAY()-'Look Ups'!$D$4*365),-WM*'Look Ups'!$D$5/100,0)</f>
        <v>-606.6</v>
      </c>
      <c r="Z300" s="103"/>
      <c r="AA300" s="109"/>
      <c r="AB300" s="109"/>
      <c r="AC300" s="265">
        <f>WCD+NC*'Look Ups'!$AF$3</f>
        <v>0</v>
      </c>
      <c r="AD300" s="265">
        <f ca="1">IF(RL&lt;'Look Ups'!AM$3,'Look Ups'!AM$4,IF(RL&gt;'Look Ups'!AM$5,'Look Ups'!AM$6,(RL-'Look Ups'!AM$3)/('Look Ups'!AM$5-'Look Ups'!AM$3)*('Look Ups'!AM$6-'Look Ups'!AM$4)+'Look Ups'!AM$4))/100*WS</f>
        <v>498.73549090909097</v>
      </c>
      <c r="AE300" s="269">
        <f t="shared" ca="1" si="124"/>
        <v>3437.4</v>
      </c>
      <c r="AF300" s="267">
        <f t="shared" ca="1" si="125"/>
        <v>3437.4</v>
      </c>
      <c r="AG300" s="94" t="s">
        <v>145</v>
      </c>
      <c r="AH300" s="95" t="s">
        <v>146</v>
      </c>
      <c r="AI300" s="96" t="s">
        <v>147</v>
      </c>
      <c r="AJ300" s="218"/>
      <c r="AK300" s="273">
        <f>IF(C300="",0,VLOOKUP(AG300,'Look Ups'!$F$3:$G$6,2,0)*VLOOKUP(AH300,'Look Ups'!$I$3:$J$5,2,0)*VLOOKUP(AI300,'Look Ups'!$L$3:$M$7,2,0)*IF(AJ300="",1,VLOOKUP(AJ300,'Look Ups'!$O$3:$P$4,2,0)))</f>
        <v>1</v>
      </c>
      <c r="AL300" s="83">
        <v>14.35</v>
      </c>
      <c r="AM300" s="91">
        <v>14.3</v>
      </c>
      <c r="AN300" s="91">
        <v>4.4400000000000004</v>
      </c>
      <c r="AO300" s="91">
        <v>0.12</v>
      </c>
      <c r="AP300" s="91">
        <v>1.28</v>
      </c>
      <c r="AQ300" s="91">
        <v>13.55</v>
      </c>
      <c r="AR300" s="91">
        <v>0.1</v>
      </c>
      <c r="AS300" s="91">
        <v>4.7</v>
      </c>
      <c r="AT300" s="91">
        <v>0</v>
      </c>
      <c r="AU300" s="91">
        <v>0</v>
      </c>
      <c r="AV300" s="91" t="s">
        <v>148</v>
      </c>
      <c r="AW300" s="97">
        <v>0</v>
      </c>
      <c r="AX300" s="256">
        <f t="shared" si="126"/>
        <v>13.55</v>
      </c>
      <c r="AY300" s="256">
        <f t="shared" si="127"/>
        <v>0</v>
      </c>
      <c r="AZ300" s="275">
        <f>IF(C300="",0,(0.5*(_ML1*LPM)+0.5*(_ML1*HB)+0.66*(P*PR)+0.66*(_ML2*RDM)+0.66*(E*ER))*VLOOKUP(BATT,'Look Ups'!$U$3:$V$4,2,0))</f>
        <v>45.692940000000007</v>
      </c>
      <c r="BA300" s="98"/>
      <c r="BB300" s="99"/>
      <c r="BC300" s="83">
        <v>13.1</v>
      </c>
      <c r="BD300" s="91">
        <v>5.15</v>
      </c>
      <c r="BE300" s="91">
        <v>5.89</v>
      </c>
      <c r="BF300" s="91">
        <v>0.18</v>
      </c>
      <c r="BG300" s="91">
        <v>11.52</v>
      </c>
      <c r="BH300" s="91"/>
      <c r="BI300" s="91"/>
      <c r="BJ300" s="91">
        <v>-0.32</v>
      </c>
      <c r="BK300" s="91">
        <v>-0.1</v>
      </c>
      <c r="BL300" s="97"/>
      <c r="BM300" s="275">
        <f t="shared" si="128"/>
        <v>31.134607999999997</v>
      </c>
      <c r="BN300" s="319"/>
      <c r="BO300" s="320"/>
      <c r="BP300" s="321"/>
      <c r="BQ300" s="321"/>
      <c r="BR300" s="320"/>
      <c r="BS300" s="321"/>
      <c r="BT300" s="321"/>
      <c r="BU300" s="280">
        <f t="shared" si="129"/>
        <v>0</v>
      </c>
      <c r="BV300" s="322"/>
      <c r="BW300" s="320"/>
      <c r="BX300" s="320"/>
      <c r="BY300" s="320"/>
      <c r="BZ300" s="320"/>
      <c r="CA300" s="320"/>
      <c r="CB300" s="320"/>
      <c r="CC300" s="275">
        <f t="shared" si="130"/>
        <v>0</v>
      </c>
      <c r="CD300" s="98">
        <v>10.5</v>
      </c>
      <c r="CE300" s="91">
        <v>16.3</v>
      </c>
      <c r="CF300" s="91">
        <v>16.3</v>
      </c>
      <c r="CG300" s="91">
        <v>10.24</v>
      </c>
      <c r="CH300" s="266">
        <f t="shared" si="131"/>
        <v>97.523809523809518</v>
      </c>
      <c r="CI300" s="320"/>
      <c r="CJ300" s="280">
        <f t="shared" si="132"/>
        <v>139.79966666666667</v>
      </c>
      <c r="CK300" s="83"/>
      <c r="CL300" s="91"/>
      <c r="CM300" s="91"/>
      <c r="CN300" s="91"/>
      <c r="CO300" s="256" t="str">
        <f t="shared" si="133"/>
        <v/>
      </c>
      <c r="CP300" s="320"/>
      <c r="CQ300" s="256">
        <f t="shared" si="134"/>
        <v>0</v>
      </c>
      <c r="CR300" s="256" t="str">
        <f>IF(CO300&lt;'Look Ups'!$AC$4,"Yes","No")</f>
        <v>No</v>
      </c>
      <c r="CS300" s="293">
        <f>IF(CR300="Yes",MIN(150,('Look Ups'!$AC$4-PSCR)/('Look Ups'!$AC$4-'Look Ups'!$AC$3)*100),0)</f>
        <v>0</v>
      </c>
      <c r="CT300" s="83"/>
      <c r="CU300" s="91"/>
      <c r="CV300" s="91"/>
      <c r="CW300" s="91"/>
      <c r="CX300" s="256" t="str">
        <f t="shared" si="135"/>
        <v/>
      </c>
      <c r="CY300" s="293">
        <f>IF(PUSCR&lt;'Look Ups'!$AC$4,MIN(150,('Look Ups'!$AC$4-PUSCR)/('Look Ups'!$AC$4-'Look Ups'!$AC$3)*100),0)</f>
        <v>0</v>
      </c>
      <c r="CZ300" s="275">
        <f>IF(PUSCR&lt;'Look Ups'!$AC$4,USCRF*(USCRL1+USCRL2)/4+(USCRMG-USCRF/2)*(USCRL1+USCRL2)/3,0)</f>
        <v>0</v>
      </c>
      <c r="DA300" s="294">
        <f t="shared" si="136"/>
        <v>1</v>
      </c>
      <c r="DB300" s="256">
        <f t="shared" si="137"/>
        <v>45.692940000000007</v>
      </c>
      <c r="DC300" s="256">
        <f t="shared" si="138"/>
        <v>1</v>
      </c>
      <c r="DD300" s="256">
        <f t="shared" si="139"/>
        <v>31.134607999999997</v>
      </c>
      <c r="DE300" s="256">
        <f>IF(AZ300&gt;0,'Look Ups'!$S$3,0)</f>
        <v>1</v>
      </c>
      <c r="DF300" s="256">
        <f t="shared" si="140"/>
        <v>0</v>
      </c>
      <c r="DG300" s="256">
        <f t="shared" si="141"/>
        <v>0</v>
      </c>
      <c r="DH300" s="256">
        <f t="shared" si="142"/>
        <v>0</v>
      </c>
      <c r="DI300" s="280">
        <f t="shared" si="143"/>
        <v>0</v>
      </c>
      <c r="DJ300" s="295" t="str">
        <f t="shared" si="144"/>
        <v>-</v>
      </c>
      <c r="DK300" s="266" t="str">
        <f t="shared" si="145"/>
        <v>valid</v>
      </c>
      <c r="DL300" s="267" t="str">
        <f t="shared" si="146"/>
        <v>MGSP</v>
      </c>
      <c r="DM300" s="294">
        <f t="shared" si="147"/>
        <v>76.827548000000007</v>
      </c>
      <c r="DN300" s="256">
        <f>IF(MSASP&gt;0,'Look Ups'!$AI$4*(ZVAL*MSASP-RSAG),0)</f>
        <v>32.599517599999999</v>
      </c>
      <c r="DO300" s="256">
        <f>IF(AND(MSASC&gt;0,(MSASC&gt;=0.36*RSAM)),('Look Ups'!$AI$3*(ZVAL*MSASC-RSAG)),(0))</f>
        <v>0</v>
      </c>
      <c r="DP300" s="256">
        <f>IF(MSASP&gt;0,'Look Ups'!$AI$5*(ZVAL*MSASP-RSAG),0)</f>
        <v>30.42621642666667</v>
      </c>
      <c r="DQ300" s="256">
        <f>IF(MSASC&gt;0,'Look Ups'!$AI$6*(MSASC-RSAG),0)</f>
        <v>0</v>
      </c>
      <c r="DR300" s="280">
        <f>'Look Ups'!$AI$7*MAX(IF(MSAUSC&gt;0,EUSC/100*(MSAUSC-RSAG),0),IF(CR300="Yes",ELSC/100*(MSASC-RSAG),0))</f>
        <v>0</v>
      </c>
      <c r="DS300" s="280">
        <f t="shared" si="148"/>
        <v>16.449458400000001</v>
      </c>
      <c r="DT300" s="296">
        <f t="shared" si="149"/>
        <v>109.42706560000001</v>
      </c>
      <c r="DU300" s="107"/>
    </row>
    <row r="301" spans="1:125" ht="15.6" customHeight="1" x14ac:dyDescent="0.3">
      <c r="A301" s="4"/>
      <c r="B301" s="365"/>
      <c r="C301" s="369" t="s">
        <v>998</v>
      </c>
      <c r="D301" s="370" t="s">
        <v>999</v>
      </c>
      <c r="E301" s="371" t="s">
        <v>1000</v>
      </c>
      <c r="F301" s="252">
        <f t="shared" ca="1" si="120"/>
        <v>0.69199999999999995</v>
      </c>
      <c r="G301" s="252" t="str">
        <f ca="1">IF(OR(FLSCR="ERROR",FLSPI="ERROR"),"No",IF(TODAY()-'Look Ups'!$D$4*365&gt;I301,"WP Applied","Yes"))</f>
        <v>WP Applied</v>
      </c>
      <c r="H301" s="253" t="str">
        <f t="shared" si="121"/>
        <v>Main-Genoa-Spinnaker</v>
      </c>
      <c r="I301" s="1">
        <v>38805</v>
      </c>
      <c r="J301" s="1"/>
      <c r="K301" s="87" t="s">
        <v>1001</v>
      </c>
      <c r="L301" s="87" t="s">
        <v>589</v>
      </c>
      <c r="M301" s="207"/>
      <c r="N301" s="88" t="s">
        <v>165</v>
      </c>
      <c r="O301" s="88"/>
      <c r="P301" s="89">
        <v>6.8</v>
      </c>
      <c r="Q301" s="90">
        <v>10.79</v>
      </c>
      <c r="R301" s="87"/>
      <c r="S301" s="256">
        <f t="shared" si="122"/>
        <v>0.26974999999999999</v>
      </c>
      <c r="T301" s="117">
        <v>0.4</v>
      </c>
      <c r="U301" s="117">
        <v>0</v>
      </c>
      <c r="V301" s="258">
        <f t="shared" si="123"/>
        <v>10.389999999999999</v>
      </c>
      <c r="W301" s="259">
        <f>IF(RL&gt;0,IF(RL&gt;'Look Ups'!Y$7,'Look Ups'!Y$8,('Look Ups'!Y$3*RL^3+'Look Ups'!Y$4*RL^2+'Look Ups'!Y$5*RL+'Look Ups'!Y$6)),0)</f>
        <v>0.29898559652700002</v>
      </c>
      <c r="X301" s="92">
        <v>5024</v>
      </c>
      <c r="Y301" s="263">
        <f ca="1">IF(WDATE&lt;(TODAY()-'Look Ups'!$D$4*365),-WM*'Look Ups'!$D$5/100,0)</f>
        <v>-753.6</v>
      </c>
      <c r="Z301" s="103"/>
      <c r="AA301" s="109"/>
      <c r="AB301" s="109"/>
      <c r="AC301" s="265">
        <f>WCD+NC*'Look Ups'!$AF$3</f>
        <v>0</v>
      </c>
      <c r="AD301" s="265">
        <f ca="1">IF(RL&lt;'Look Ups'!AM$3,'Look Ups'!AM$4,IF(RL&gt;'Look Ups'!AM$5,'Look Ups'!AM$6,(RL-'Look Ups'!AM$3)/('Look Ups'!AM$5-'Look Ups'!AM$3)*('Look Ups'!AM$6-'Look Ups'!AM$4)+'Look Ups'!AM$4))/100*WS</f>
        <v>708.10996363636377</v>
      </c>
      <c r="AE301" s="269">
        <f t="shared" ca="1" si="124"/>
        <v>4270.3999999999996</v>
      </c>
      <c r="AF301" s="267">
        <f t="shared" ca="1" si="125"/>
        <v>4270.3999999999996</v>
      </c>
      <c r="AG301" s="94" t="s">
        <v>145</v>
      </c>
      <c r="AH301" s="95" t="s">
        <v>146</v>
      </c>
      <c r="AI301" s="96" t="s">
        <v>147</v>
      </c>
      <c r="AJ301" s="218"/>
      <c r="AK301" s="273">
        <f>IF(C301="",0,VLOOKUP(AG301,'Look Ups'!$F$3:$G$6,2,0)*VLOOKUP(AH301,'Look Ups'!$I$3:$J$5,2,0)*VLOOKUP(AI301,'Look Ups'!$L$3:$M$7,2,0)*IF(AJ301="",1,VLOOKUP(AJ301,'Look Ups'!$O$3:$P$4,2,0)))</f>
        <v>1</v>
      </c>
      <c r="AL301" s="83">
        <v>11.75</v>
      </c>
      <c r="AM301" s="91">
        <v>11.72</v>
      </c>
      <c r="AN301" s="91">
        <v>3.58</v>
      </c>
      <c r="AO301" s="91">
        <v>0.11</v>
      </c>
      <c r="AP301" s="91">
        <v>0.2</v>
      </c>
      <c r="AQ301" s="91">
        <v>11.29</v>
      </c>
      <c r="AR301" s="91">
        <v>0.05</v>
      </c>
      <c r="AS301" s="91">
        <v>3.17</v>
      </c>
      <c r="AT301" s="91">
        <v>0.08</v>
      </c>
      <c r="AU301" s="91">
        <v>0</v>
      </c>
      <c r="AV301" s="91" t="s">
        <v>148</v>
      </c>
      <c r="AW301" s="97">
        <v>0</v>
      </c>
      <c r="AX301" s="256">
        <f t="shared" si="126"/>
        <v>11.37</v>
      </c>
      <c r="AY301" s="256">
        <f t="shared" si="127"/>
        <v>0</v>
      </c>
      <c r="AZ301" s="275">
        <f>IF(C301="",0,(0.5*(_ML1*LPM)+0.5*(_ML1*HB)+0.66*(P*PR)+0.66*(_ML2*RDM)+0.66*(E*ER))*VLOOKUP(BATT,'Look Ups'!$U$3:$V$4,2,0))</f>
        <v>23.765735999999997</v>
      </c>
      <c r="BA301" s="98"/>
      <c r="BB301" s="99"/>
      <c r="BC301" s="83">
        <v>12.79</v>
      </c>
      <c r="BD301" s="91">
        <v>5.72</v>
      </c>
      <c r="BE301" s="91">
        <v>5.47</v>
      </c>
      <c r="BF301" s="91">
        <v>0.08</v>
      </c>
      <c r="BG301" s="91">
        <v>11.93</v>
      </c>
      <c r="BH301" s="91"/>
      <c r="BI301" s="91"/>
      <c r="BJ301" s="91">
        <v>-0.24</v>
      </c>
      <c r="BK301" s="91">
        <v>-0.03</v>
      </c>
      <c r="BL301" s="97"/>
      <c r="BM301" s="275">
        <f t="shared" si="128"/>
        <v>34.725261999999987</v>
      </c>
      <c r="BN301" s="319"/>
      <c r="BO301" s="320"/>
      <c r="BP301" s="321"/>
      <c r="BQ301" s="321"/>
      <c r="BR301" s="320"/>
      <c r="BS301" s="321"/>
      <c r="BT301" s="321"/>
      <c r="BU301" s="280">
        <f t="shared" si="129"/>
        <v>0</v>
      </c>
      <c r="BV301" s="322"/>
      <c r="BW301" s="320"/>
      <c r="BX301" s="320"/>
      <c r="BY301" s="320"/>
      <c r="BZ301" s="320"/>
      <c r="CA301" s="320"/>
      <c r="CB301" s="320"/>
      <c r="CC301" s="275">
        <f t="shared" si="130"/>
        <v>0</v>
      </c>
      <c r="CD301" s="98">
        <v>8.86</v>
      </c>
      <c r="CE301" s="91">
        <v>12.86</v>
      </c>
      <c r="CF301" s="91">
        <v>12.8</v>
      </c>
      <c r="CG301" s="91">
        <v>7.88</v>
      </c>
      <c r="CH301" s="266">
        <f t="shared" si="131"/>
        <v>88.939051918735899</v>
      </c>
      <c r="CI301" s="320"/>
      <c r="CJ301" s="280">
        <f t="shared" si="132"/>
        <v>86.3459</v>
      </c>
      <c r="CK301" s="83"/>
      <c r="CL301" s="91"/>
      <c r="CM301" s="91"/>
      <c r="CN301" s="91"/>
      <c r="CO301" s="256" t="str">
        <f t="shared" si="133"/>
        <v/>
      </c>
      <c r="CP301" s="320"/>
      <c r="CQ301" s="256">
        <f t="shared" si="134"/>
        <v>0</v>
      </c>
      <c r="CR301" s="256" t="str">
        <f>IF(CO301&lt;'Look Ups'!$AC$4,"Yes","No")</f>
        <v>No</v>
      </c>
      <c r="CS301" s="293">
        <f>IF(CR301="Yes",MIN(150,('Look Ups'!$AC$4-PSCR)/('Look Ups'!$AC$4-'Look Ups'!$AC$3)*100),0)</f>
        <v>0</v>
      </c>
      <c r="CT301" s="83"/>
      <c r="CU301" s="91"/>
      <c r="CV301" s="91"/>
      <c r="CW301" s="91"/>
      <c r="CX301" s="256" t="str">
        <f t="shared" si="135"/>
        <v/>
      </c>
      <c r="CY301" s="293">
        <f>IF(PUSCR&lt;'Look Ups'!$AC$4,MIN(150,('Look Ups'!$AC$4-PUSCR)/('Look Ups'!$AC$4-'Look Ups'!$AC$3)*100),0)</f>
        <v>0</v>
      </c>
      <c r="CZ301" s="275">
        <f>IF(PUSCR&lt;'Look Ups'!$AC$4,USCRF*(USCRL1+USCRL2)/4+(USCRMG-USCRF/2)*(USCRL1+USCRL2)/3,0)</f>
        <v>0</v>
      </c>
      <c r="DA301" s="294">
        <f t="shared" si="136"/>
        <v>1</v>
      </c>
      <c r="DB301" s="256">
        <f t="shared" si="137"/>
        <v>23.765735999999997</v>
      </c>
      <c r="DC301" s="256">
        <f t="shared" si="138"/>
        <v>1</v>
      </c>
      <c r="DD301" s="256">
        <f t="shared" si="139"/>
        <v>34.725261999999987</v>
      </c>
      <c r="DE301" s="256">
        <f>IF(AZ301&gt;0,'Look Ups'!$S$3,0)</f>
        <v>1</v>
      </c>
      <c r="DF301" s="256">
        <f t="shared" si="140"/>
        <v>0</v>
      </c>
      <c r="DG301" s="256">
        <f t="shared" si="141"/>
        <v>0</v>
      </c>
      <c r="DH301" s="256">
        <f t="shared" si="142"/>
        <v>0</v>
      </c>
      <c r="DI301" s="280">
        <f t="shared" si="143"/>
        <v>0</v>
      </c>
      <c r="DJ301" s="295" t="str">
        <f t="shared" si="144"/>
        <v>-</v>
      </c>
      <c r="DK301" s="266" t="str">
        <f t="shared" si="145"/>
        <v>valid</v>
      </c>
      <c r="DL301" s="267" t="str">
        <f t="shared" si="146"/>
        <v>MGSP</v>
      </c>
      <c r="DM301" s="294">
        <f t="shared" si="147"/>
        <v>58.490997999999983</v>
      </c>
      <c r="DN301" s="256">
        <f>IF(MSASP&gt;0,'Look Ups'!$AI$4*(ZVAL*MSASP-RSAG),0)</f>
        <v>15.486191400000003</v>
      </c>
      <c r="DO301" s="256">
        <f>IF(AND(MSASC&gt;0,(MSASC&gt;=0.36*RSAM)),('Look Ups'!$AI$3*(ZVAL*MSASC-RSAG)),(0))</f>
        <v>0</v>
      </c>
      <c r="DP301" s="256">
        <f>IF(MSASP&gt;0,'Look Ups'!$AI$5*(ZVAL*MSASP-RSAG),0)</f>
        <v>14.453778640000005</v>
      </c>
      <c r="DQ301" s="256">
        <f>IF(MSASC&gt;0,'Look Ups'!$AI$6*(MSASC-RSAG),0)</f>
        <v>0</v>
      </c>
      <c r="DR301" s="280">
        <f>'Look Ups'!$AI$7*MAX(IF(MSAUSC&gt;0,EUSC/100*(MSAUSC-RSAG),0),IF(CR301="Yes",ELSC/100*(MSASC-RSAG),0))</f>
        <v>0</v>
      </c>
      <c r="DS301" s="280">
        <f t="shared" si="148"/>
        <v>8.5556649599999979</v>
      </c>
      <c r="DT301" s="296">
        <f t="shared" si="149"/>
        <v>73.977189399999986</v>
      </c>
      <c r="DU301" s="14"/>
    </row>
    <row r="302" spans="1:125" ht="15.6" customHeight="1" x14ac:dyDescent="0.3">
      <c r="A302" s="4"/>
      <c r="B302" s="365"/>
      <c r="C302" s="369" t="s">
        <v>1002</v>
      </c>
      <c r="D302" s="370" t="s">
        <v>1003</v>
      </c>
      <c r="E302" s="371" t="s">
        <v>1004</v>
      </c>
      <c r="F302" s="252">
        <f t="shared" ca="1" si="120"/>
        <v>0.89300000000000002</v>
      </c>
      <c r="G302" s="252" t="str">
        <f ca="1">IF(OR(FLSCR="ERROR",FLSPI="ERROR"),"No",IF(TODAY()-'Look Ups'!$D$4*365&gt;I302,"WP Applied","Yes"))</f>
        <v>WP Applied</v>
      </c>
      <c r="H302" s="253" t="str">
        <f t="shared" si="121"/>
        <v>Main-Genoa-Spinnaker</v>
      </c>
      <c r="I302" s="1">
        <v>38404</v>
      </c>
      <c r="J302" s="1">
        <v>40057</v>
      </c>
      <c r="K302" s="87" t="s">
        <v>445</v>
      </c>
      <c r="L302" s="87" t="s">
        <v>641</v>
      </c>
      <c r="M302" s="207"/>
      <c r="N302" s="88" t="s">
        <v>165</v>
      </c>
      <c r="O302" s="88"/>
      <c r="P302" s="89"/>
      <c r="Q302" s="90">
        <v>10.66</v>
      </c>
      <c r="R302" s="87"/>
      <c r="S302" s="256">
        <f t="shared" si="122"/>
        <v>0.26650000000000001</v>
      </c>
      <c r="T302" s="117">
        <v>0.54</v>
      </c>
      <c r="U302" s="117">
        <v>0</v>
      </c>
      <c r="V302" s="258">
        <f t="shared" si="123"/>
        <v>10.120000000000001</v>
      </c>
      <c r="W302" s="259">
        <f>IF(RL&gt;0,IF(RL&gt;'Look Ups'!Y$7,'Look Ups'!Y$8,('Look Ups'!Y$3*RL^3+'Look Ups'!Y$4*RL^2+'Look Ups'!Y$5*RL+'Look Ups'!Y$6)),0)</f>
        <v>0.29866215302400001</v>
      </c>
      <c r="X302" s="92">
        <v>2802</v>
      </c>
      <c r="Y302" s="263">
        <f ca="1">IF(WDATE&lt;(TODAY()-'Look Ups'!$D$4*365),-WM*'Look Ups'!$D$5/100,0)</f>
        <v>-420.3</v>
      </c>
      <c r="Z302" s="103"/>
      <c r="AA302" s="109"/>
      <c r="AB302" s="109"/>
      <c r="AC302" s="265">
        <f>WCD+NC*'Look Ups'!$AF$3</f>
        <v>0</v>
      </c>
      <c r="AD302" s="265">
        <f ca="1">IF(RL&lt;'Look Ups'!AM$3,'Look Ups'!AM$4,IF(RL&gt;'Look Ups'!AM$5,'Look Ups'!AM$6,(RL-'Look Ups'!AM$3)/('Look Ups'!AM$5-'Look Ups'!AM$3)*('Look Ups'!AM$6-'Look Ups'!AM$4)+'Look Ups'!AM$4))/100*WS</f>
        <v>418.31312727272712</v>
      </c>
      <c r="AE302" s="269">
        <f t="shared" ca="1" si="124"/>
        <v>2381.6999999999998</v>
      </c>
      <c r="AF302" s="267">
        <f t="shared" ca="1" si="125"/>
        <v>2381.6999999999998</v>
      </c>
      <c r="AG302" s="94" t="s">
        <v>145</v>
      </c>
      <c r="AH302" s="95" t="s">
        <v>146</v>
      </c>
      <c r="AI302" s="96" t="s">
        <v>147</v>
      </c>
      <c r="AJ302" s="218"/>
      <c r="AK302" s="273">
        <f>IF(C302="",0,VLOOKUP(AG302,'Look Ups'!$F$3:$G$6,2,0)*VLOOKUP(AH302,'Look Ups'!$I$3:$J$5,2,0)*VLOOKUP(AI302,'Look Ups'!$L$3:$M$7,2,0)*IF(AJ302="",1,VLOOKUP(AJ302,'Look Ups'!$O$3:$P$4,2,0)))</f>
        <v>1</v>
      </c>
      <c r="AL302" s="83">
        <v>12.81</v>
      </c>
      <c r="AM302" s="91">
        <v>12.48</v>
      </c>
      <c r="AN302" s="91">
        <v>3.96</v>
      </c>
      <c r="AO302" s="91">
        <v>1.32</v>
      </c>
      <c r="AP302" s="91">
        <v>0.65</v>
      </c>
      <c r="AQ302" s="91">
        <v>12.3</v>
      </c>
      <c r="AR302" s="91">
        <v>0.19</v>
      </c>
      <c r="AS302" s="91">
        <v>4.1399999999999997</v>
      </c>
      <c r="AT302" s="91">
        <v>0.05</v>
      </c>
      <c r="AU302" s="91">
        <v>0.54</v>
      </c>
      <c r="AV302" s="91" t="s">
        <v>148</v>
      </c>
      <c r="AW302" s="97"/>
      <c r="AX302" s="256">
        <f t="shared" si="126"/>
        <v>12.350000000000001</v>
      </c>
      <c r="AY302" s="256">
        <f t="shared" si="127"/>
        <v>2.4907500000000007</v>
      </c>
      <c r="AZ302" s="275">
        <f>IF(C302="",0,(0.5*(_ML1*LPM)+0.5*(_ML1*HB)+0.66*(P*PR)+0.66*(_ML2*RDM)+0.66*(E*ER))*VLOOKUP(BATT,'Look Ups'!$U$3:$V$4,2,0))</f>
        <v>40.851360000000007</v>
      </c>
      <c r="BA302" s="98"/>
      <c r="BB302" s="99"/>
      <c r="BC302" s="83">
        <v>11.02</v>
      </c>
      <c r="BD302" s="91">
        <v>4.63</v>
      </c>
      <c r="BE302" s="91">
        <v>5.0999999999999996</v>
      </c>
      <c r="BF302" s="91">
        <v>0.26</v>
      </c>
      <c r="BG302" s="91">
        <v>9.77</v>
      </c>
      <c r="BH302" s="91"/>
      <c r="BI302" s="91"/>
      <c r="BJ302" s="91">
        <v>-0.13</v>
      </c>
      <c r="BK302" s="91">
        <v>0.09</v>
      </c>
      <c r="BL302" s="97"/>
      <c r="BM302" s="275">
        <f t="shared" si="128"/>
        <v>26.202781999999999</v>
      </c>
      <c r="BN302" s="319"/>
      <c r="BO302" s="320"/>
      <c r="BP302" s="321"/>
      <c r="BQ302" s="321"/>
      <c r="BR302" s="320"/>
      <c r="BS302" s="321"/>
      <c r="BT302" s="321"/>
      <c r="BU302" s="280">
        <f t="shared" si="129"/>
        <v>0</v>
      </c>
      <c r="BV302" s="322"/>
      <c r="BW302" s="320"/>
      <c r="BX302" s="320"/>
      <c r="BY302" s="320"/>
      <c r="BZ302" s="320"/>
      <c r="CA302" s="320"/>
      <c r="CB302" s="320"/>
      <c r="CC302" s="275">
        <f t="shared" si="130"/>
        <v>0</v>
      </c>
      <c r="CD302" s="98">
        <v>8.09</v>
      </c>
      <c r="CE302" s="91">
        <v>15.33</v>
      </c>
      <c r="CF302" s="91">
        <v>12.49</v>
      </c>
      <c r="CG302" s="91">
        <v>7.76</v>
      </c>
      <c r="CH302" s="266">
        <f t="shared" si="131"/>
        <v>95.920889987639057</v>
      </c>
      <c r="CI302" s="320"/>
      <c r="CJ302" s="280">
        <f t="shared" si="132"/>
        <v>90.716383333333326</v>
      </c>
      <c r="CK302" s="83"/>
      <c r="CL302" s="91"/>
      <c r="CM302" s="91"/>
      <c r="CN302" s="91"/>
      <c r="CO302" s="256" t="str">
        <f t="shared" si="133"/>
        <v/>
      </c>
      <c r="CP302" s="320"/>
      <c r="CQ302" s="256">
        <f t="shared" si="134"/>
        <v>0</v>
      </c>
      <c r="CR302" s="256" t="str">
        <f>IF(CO302&lt;'Look Ups'!$AC$4,"Yes","No")</f>
        <v>No</v>
      </c>
      <c r="CS302" s="293">
        <f>IF(CR302="Yes",MIN(150,('Look Ups'!$AC$4-PSCR)/('Look Ups'!$AC$4-'Look Ups'!$AC$3)*100),0)</f>
        <v>0</v>
      </c>
      <c r="CT302" s="83"/>
      <c r="CU302" s="91"/>
      <c r="CV302" s="91"/>
      <c r="CW302" s="91"/>
      <c r="CX302" s="256" t="str">
        <f t="shared" si="135"/>
        <v/>
      </c>
      <c r="CY302" s="293">
        <f>IF(PUSCR&lt;'Look Ups'!$AC$4,MIN(150,('Look Ups'!$AC$4-PUSCR)/('Look Ups'!$AC$4-'Look Ups'!$AC$3)*100),0)</f>
        <v>0</v>
      </c>
      <c r="CZ302" s="275">
        <f>IF(PUSCR&lt;'Look Ups'!$AC$4,USCRF*(USCRL1+USCRL2)/4+(USCRMG-USCRF/2)*(USCRL1+USCRL2)/3,0)</f>
        <v>0</v>
      </c>
      <c r="DA302" s="294">
        <f t="shared" si="136"/>
        <v>1</v>
      </c>
      <c r="DB302" s="256">
        <f t="shared" si="137"/>
        <v>43.342110000000005</v>
      </c>
      <c r="DC302" s="256">
        <f t="shared" si="138"/>
        <v>1</v>
      </c>
      <c r="DD302" s="256">
        <f t="shared" si="139"/>
        <v>26.202781999999999</v>
      </c>
      <c r="DE302" s="256">
        <f>IF(AZ302&gt;0,'Look Ups'!$S$3,0)</f>
        <v>1</v>
      </c>
      <c r="DF302" s="256">
        <f t="shared" si="140"/>
        <v>0</v>
      </c>
      <c r="DG302" s="256">
        <f t="shared" si="141"/>
        <v>0</v>
      </c>
      <c r="DH302" s="256">
        <f t="shared" si="142"/>
        <v>0</v>
      </c>
      <c r="DI302" s="280">
        <f t="shared" si="143"/>
        <v>0</v>
      </c>
      <c r="DJ302" s="295" t="str">
        <f t="shared" si="144"/>
        <v>-</v>
      </c>
      <c r="DK302" s="266" t="str">
        <f t="shared" si="145"/>
        <v>valid</v>
      </c>
      <c r="DL302" s="267" t="str">
        <f t="shared" si="146"/>
        <v>MGSP</v>
      </c>
      <c r="DM302" s="294">
        <f t="shared" si="147"/>
        <v>69.544892000000004</v>
      </c>
      <c r="DN302" s="256">
        <f>IF(MSASP&gt;0,'Look Ups'!$AI$4*(ZVAL*MSASP-RSAG),0)</f>
        <v>19.354080399999997</v>
      </c>
      <c r="DO302" s="256">
        <f>IF(AND(MSASC&gt;0,(MSASC&gt;=0.36*RSAM)),('Look Ups'!$AI$3*(ZVAL*MSASC-RSAG)),(0))</f>
        <v>0</v>
      </c>
      <c r="DP302" s="256">
        <f>IF(MSASP&gt;0,'Look Ups'!$AI$5*(ZVAL*MSASP-RSAG),0)</f>
        <v>18.063808373333334</v>
      </c>
      <c r="DQ302" s="256">
        <f>IF(MSASC&gt;0,'Look Ups'!$AI$6*(MSASC-RSAG),0)</f>
        <v>0</v>
      </c>
      <c r="DR302" s="280">
        <f>'Look Ups'!$AI$7*MAX(IF(MSAUSC&gt;0,EUSC/100*(MSAUSC-RSAG),0),IF(CR302="Yes",ELSC/100*(MSASC-RSAG),0))</f>
        <v>0</v>
      </c>
      <c r="DS302" s="280">
        <f t="shared" si="148"/>
        <v>15.603159600000001</v>
      </c>
      <c r="DT302" s="296">
        <f t="shared" si="149"/>
        <v>88.898972400000005</v>
      </c>
      <c r="DU302" s="14"/>
    </row>
    <row r="303" spans="1:125" ht="15.6" customHeight="1" x14ac:dyDescent="0.3">
      <c r="A303" s="4"/>
      <c r="B303" s="365"/>
      <c r="C303" s="369" t="s">
        <v>1005</v>
      </c>
      <c r="D303" s="370" t="s">
        <v>634</v>
      </c>
      <c r="E303" s="371" t="s">
        <v>1006</v>
      </c>
      <c r="F303" s="252">
        <f t="shared" ca="1" si="120"/>
        <v>0.79500000000000004</v>
      </c>
      <c r="G303" s="252" t="str">
        <f ca="1">IF(OR(FLSCR="ERROR",FLSPI="ERROR"),"No",IF(TODAY()-'Look Ups'!$D$4*365&gt;I303,"WP Applied","Yes"))</f>
        <v>WP Applied</v>
      </c>
      <c r="H303" s="253" t="str">
        <f t="shared" si="121"/>
        <v>Main-Genoa-Spinnaker</v>
      </c>
      <c r="I303" s="1">
        <v>40504</v>
      </c>
      <c r="J303" s="1">
        <v>40504</v>
      </c>
      <c r="K303" s="87" t="s">
        <v>240</v>
      </c>
      <c r="L303" s="87" t="s">
        <v>636</v>
      </c>
      <c r="M303" s="207"/>
      <c r="N303" s="88" t="s">
        <v>165</v>
      </c>
      <c r="O303" s="88" t="s">
        <v>144</v>
      </c>
      <c r="P303" s="89"/>
      <c r="Q303" s="90">
        <v>5.92</v>
      </c>
      <c r="R303" s="87"/>
      <c r="S303" s="256">
        <f t="shared" si="122"/>
        <v>0.14799999999999999</v>
      </c>
      <c r="T303" s="117">
        <v>0.43</v>
      </c>
      <c r="U303" s="117">
        <v>0</v>
      </c>
      <c r="V303" s="258">
        <f t="shared" si="123"/>
        <v>5.49</v>
      </c>
      <c r="W303" s="259">
        <f>IF(RL&gt;0,IF(RL&gt;'Look Ups'!Y$7,'Look Ups'!Y$8,('Look Ups'!Y$3*RL^3+'Look Ups'!Y$4*RL^2+'Look Ups'!Y$5*RL+'Look Ups'!Y$6)),0)</f>
        <v>0.28081934191699998</v>
      </c>
      <c r="X303" s="92">
        <v>460</v>
      </c>
      <c r="Y303" s="263">
        <f ca="1">IF(WDATE&lt;(TODAY()-'Look Ups'!$D$4*365),-WM*'Look Ups'!$D$5/100,0)</f>
        <v>-69</v>
      </c>
      <c r="Z303" s="103"/>
      <c r="AA303" s="109"/>
      <c r="AB303" s="109"/>
      <c r="AC303" s="265">
        <f>WCD+NC*'Look Ups'!$AF$3</f>
        <v>0</v>
      </c>
      <c r="AD303" s="265">
        <f ca="1">IF(RL&lt;'Look Ups'!AM$3,'Look Ups'!AM$4,IF(RL&gt;'Look Ups'!AM$5,'Look Ups'!AM$6,(RL-'Look Ups'!AM$3)/('Look Ups'!AM$5-'Look Ups'!AM$3)*('Look Ups'!AM$6-'Look Ups'!AM$4)+'Look Ups'!AM$4))/100*WS</f>
        <v>117.3</v>
      </c>
      <c r="AE303" s="269">
        <f t="shared" ca="1" si="124"/>
        <v>391</v>
      </c>
      <c r="AF303" s="267">
        <f t="shared" ca="1" si="125"/>
        <v>391</v>
      </c>
      <c r="AG303" s="94" t="s">
        <v>145</v>
      </c>
      <c r="AH303" s="95" t="s">
        <v>146</v>
      </c>
      <c r="AI303" s="96" t="s">
        <v>147</v>
      </c>
      <c r="AJ303" s="218"/>
      <c r="AK303" s="273">
        <f>IF(C303="",0,VLOOKUP(AG303,'Look Ups'!$F$3:$G$6,2,0)*VLOOKUP(AH303,'Look Ups'!$I$3:$J$5,2,0)*VLOOKUP(AI303,'Look Ups'!$L$3:$M$7,2,0)*IF(AJ303="",1,VLOOKUP(AJ303,'Look Ups'!$O$3:$P$4,2,0)))</f>
        <v>1</v>
      </c>
      <c r="AL303" s="83">
        <v>8</v>
      </c>
      <c r="AM303" s="91">
        <v>7.96</v>
      </c>
      <c r="AN303" s="91">
        <v>2.5</v>
      </c>
      <c r="AO303" s="91">
        <v>0.115</v>
      </c>
      <c r="AP303" s="91">
        <v>0.73499999999999999</v>
      </c>
      <c r="AQ303" s="91">
        <v>7.8</v>
      </c>
      <c r="AR303" s="91">
        <v>6.3E-2</v>
      </c>
      <c r="AS303" s="91">
        <v>2.56</v>
      </c>
      <c r="AT303" s="91">
        <v>6.5000000000000002E-2</v>
      </c>
      <c r="AU303" s="91">
        <v>0.33</v>
      </c>
      <c r="AV303" s="91" t="s">
        <v>148</v>
      </c>
      <c r="AW303" s="97">
        <v>0</v>
      </c>
      <c r="AX303" s="256">
        <f t="shared" si="126"/>
        <v>7.8650000000000002</v>
      </c>
      <c r="AY303" s="256">
        <f t="shared" si="127"/>
        <v>0.96524999999999994</v>
      </c>
      <c r="AZ303" s="275">
        <f>IF(C303="",0,(0.5*(_ML1*LPM)+0.5*(_ML1*HB)+0.66*(P*PR)+0.66*(_ML2*RDM)+0.66*(E*ER))*VLOOKUP(BATT,'Look Ups'!$U$3:$V$4,2,0))</f>
        <v>14.755544</v>
      </c>
      <c r="BA303" s="98"/>
      <c r="BB303" s="99"/>
      <c r="BC303" s="83">
        <v>6.13</v>
      </c>
      <c r="BD303" s="91">
        <v>1.895</v>
      </c>
      <c r="BE303" s="91">
        <v>1.92</v>
      </c>
      <c r="BF303" s="91">
        <v>0.105</v>
      </c>
      <c r="BG303" s="91">
        <v>5.88</v>
      </c>
      <c r="BH303" s="91"/>
      <c r="BI303" s="91"/>
      <c r="BJ303" s="91">
        <v>0.04</v>
      </c>
      <c r="BK303" s="91">
        <v>3.5000000000000003E-2</v>
      </c>
      <c r="BL303" s="97">
        <v>0</v>
      </c>
      <c r="BM303" s="275">
        <f t="shared" si="128"/>
        <v>6.2380659999999999</v>
      </c>
      <c r="BN303" s="319"/>
      <c r="BO303" s="320"/>
      <c r="BP303" s="321"/>
      <c r="BQ303" s="321"/>
      <c r="BR303" s="320"/>
      <c r="BS303" s="321"/>
      <c r="BT303" s="321"/>
      <c r="BU303" s="280">
        <f t="shared" si="129"/>
        <v>0</v>
      </c>
      <c r="BV303" s="322"/>
      <c r="BW303" s="320"/>
      <c r="BX303" s="320"/>
      <c r="BY303" s="320"/>
      <c r="BZ303" s="320"/>
      <c r="CA303" s="320"/>
      <c r="CB303" s="320"/>
      <c r="CC303" s="275">
        <f t="shared" si="130"/>
        <v>0</v>
      </c>
      <c r="CD303" s="98">
        <v>3.8650000000000002</v>
      </c>
      <c r="CE303" s="91">
        <v>7.5149999999999997</v>
      </c>
      <c r="CF303" s="91">
        <v>7.06</v>
      </c>
      <c r="CG303" s="91">
        <v>3.165</v>
      </c>
      <c r="CH303" s="266">
        <f t="shared" si="131"/>
        <v>81.888745148771008</v>
      </c>
      <c r="CI303" s="320"/>
      <c r="CJ303" s="280">
        <f t="shared" si="132"/>
        <v>20.070989583333333</v>
      </c>
      <c r="CK303" s="83"/>
      <c r="CL303" s="91"/>
      <c r="CM303" s="91"/>
      <c r="CN303" s="91"/>
      <c r="CO303" s="256" t="str">
        <f t="shared" si="133"/>
        <v/>
      </c>
      <c r="CP303" s="320"/>
      <c r="CQ303" s="256">
        <f t="shared" si="134"/>
        <v>0</v>
      </c>
      <c r="CR303" s="256" t="str">
        <f>IF(CO303&lt;'Look Ups'!$AC$4,"Yes","No")</f>
        <v>No</v>
      </c>
      <c r="CS303" s="293">
        <f>IF(CR303="Yes",MIN(150,('Look Ups'!$AC$4-PSCR)/('Look Ups'!$AC$4-'Look Ups'!$AC$3)*100),0)</f>
        <v>0</v>
      </c>
      <c r="CT303" s="83"/>
      <c r="CU303" s="91"/>
      <c r="CV303" s="91"/>
      <c r="CW303" s="91"/>
      <c r="CX303" s="256" t="str">
        <f t="shared" si="135"/>
        <v/>
      </c>
      <c r="CY303" s="293">
        <f>IF(PUSCR&lt;'Look Ups'!$AC$4,MIN(150,('Look Ups'!$AC$4-PUSCR)/('Look Ups'!$AC$4-'Look Ups'!$AC$3)*100),0)</f>
        <v>0</v>
      </c>
      <c r="CZ303" s="275">
        <f>IF(PUSCR&lt;'Look Ups'!$AC$4,USCRF*(USCRL1+USCRL2)/4+(USCRMG-USCRF/2)*(USCRL1+USCRL2)/3,0)</f>
        <v>0</v>
      </c>
      <c r="DA303" s="294">
        <f t="shared" si="136"/>
        <v>1</v>
      </c>
      <c r="DB303" s="256">
        <f t="shared" si="137"/>
        <v>15.720794</v>
      </c>
      <c r="DC303" s="256">
        <f t="shared" si="138"/>
        <v>1</v>
      </c>
      <c r="DD303" s="256">
        <f t="shared" si="139"/>
        <v>6.2380659999999999</v>
      </c>
      <c r="DE303" s="256">
        <f>IF(AZ303&gt;0,'Look Ups'!$S$3,0)</f>
        <v>1</v>
      </c>
      <c r="DF303" s="256">
        <f t="shared" si="140"/>
        <v>0</v>
      </c>
      <c r="DG303" s="256">
        <f t="shared" si="141"/>
        <v>0</v>
      </c>
      <c r="DH303" s="256">
        <f t="shared" si="142"/>
        <v>0</v>
      </c>
      <c r="DI303" s="280">
        <f t="shared" si="143"/>
        <v>0</v>
      </c>
      <c r="DJ303" s="295" t="str">
        <f t="shared" si="144"/>
        <v>-</v>
      </c>
      <c r="DK303" s="266" t="str">
        <f t="shared" si="145"/>
        <v>valid</v>
      </c>
      <c r="DL303" s="267" t="str">
        <f t="shared" si="146"/>
        <v>MGSP</v>
      </c>
      <c r="DM303" s="294">
        <f t="shared" si="147"/>
        <v>21.958860000000001</v>
      </c>
      <c r="DN303" s="256">
        <f>IF(MSASP&gt;0,'Look Ups'!$AI$4*(ZVAL*MSASP-RSAG),0)</f>
        <v>4.149877075</v>
      </c>
      <c r="DO303" s="256">
        <f>IF(AND(MSASC&gt;0,(MSASC&gt;=0.36*RSAM)),('Look Ups'!$AI$3*(ZVAL*MSASC-RSAG)),(0))</f>
        <v>0</v>
      </c>
      <c r="DP303" s="256">
        <f>IF(MSASP&gt;0,'Look Ups'!$AI$5*(ZVAL*MSASP-RSAG),0)</f>
        <v>3.8732186033333336</v>
      </c>
      <c r="DQ303" s="256">
        <f>IF(MSASC&gt;0,'Look Ups'!$AI$6*(MSASC-RSAG),0)</f>
        <v>0</v>
      </c>
      <c r="DR303" s="280">
        <f>'Look Ups'!$AI$7*MAX(IF(MSAUSC&gt;0,EUSC/100*(MSAUSC-RSAG),0),IF(CR303="Yes",ELSC/100*(MSASC-RSAG),0))</f>
        <v>0</v>
      </c>
      <c r="DS303" s="280">
        <f t="shared" si="148"/>
        <v>5.6594858399999994</v>
      </c>
      <c r="DT303" s="296">
        <f t="shared" si="149"/>
        <v>26.108737075000001</v>
      </c>
      <c r="DU303" s="14"/>
    </row>
    <row r="304" spans="1:125" ht="15.6" customHeight="1" x14ac:dyDescent="0.3">
      <c r="A304" s="4"/>
      <c r="B304" s="365"/>
      <c r="C304" s="369" t="s">
        <v>1007</v>
      </c>
      <c r="D304" s="370" t="s">
        <v>1008</v>
      </c>
      <c r="E304" s="371" t="s">
        <v>1009</v>
      </c>
      <c r="F304" s="252">
        <f t="shared" ca="1" si="120"/>
        <v>0.80900000000000005</v>
      </c>
      <c r="G304" s="252" t="str">
        <f ca="1">IF(OR(FLSCR="ERROR",FLSPI="ERROR"),"No",IF(TODAY()-'Look Ups'!$D$4*365&gt;I304,"WP Applied","Yes"))</f>
        <v>WP Applied</v>
      </c>
      <c r="H304" s="253" t="str">
        <f t="shared" si="121"/>
        <v>Main-Genoa-Spinnaker</v>
      </c>
      <c r="I304" s="1">
        <v>37878</v>
      </c>
      <c r="J304" s="1"/>
      <c r="K304" s="87" t="s">
        <v>686</v>
      </c>
      <c r="L304" s="87" t="s">
        <v>641</v>
      </c>
      <c r="M304" s="207"/>
      <c r="N304" s="88" t="s">
        <v>271</v>
      </c>
      <c r="O304" s="88"/>
      <c r="P304" s="89">
        <v>5.7</v>
      </c>
      <c r="Q304" s="90">
        <v>7.97</v>
      </c>
      <c r="R304" s="87"/>
      <c r="S304" s="256">
        <f t="shared" si="122"/>
        <v>0.19925000000000001</v>
      </c>
      <c r="T304" s="117">
        <v>0.15</v>
      </c>
      <c r="U304" s="117">
        <v>0</v>
      </c>
      <c r="V304" s="258">
        <f t="shared" si="123"/>
        <v>7.8199999999999994</v>
      </c>
      <c r="W304" s="259">
        <f>IF(RL&gt;0,IF(RL&gt;'Look Ups'!Y$7,'Look Ups'!Y$8,('Look Ups'!Y$3*RL^3+'Look Ups'!Y$4*RL^2+'Look Ups'!Y$5*RL+'Look Ups'!Y$6)),0)</f>
        <v>0.293157628344</v>
      </c>
      <c r="X304" s="92">
        <v>1365</v>
      </c>
      <c r="Y304" s="263">
        <f ca="1">IF(WDATE&lt;(TODAY()-'Look Ups'!$D$4*365),-WM*'Look Ups'!$D$5/100,0)</f>
        <v>-204.75</v>
      </c>
      <c r="Z304" s="103"/>
      <c r="AA304" s="109"/>
      <c r="AB304" s="109"/>
      <c r="AC304" s="265">
        <f>WCD+NC*'Look Ups'!$AF$3</f>
        <v>0</v>
      </c>
      <c r="AD304" s="265">
        <f ca="1">IF(RL&lt;'Look Ups'!AM$3,'Look Ups'!AM$4,IF(RL&gt;'Look Ups'!AM$5,'Look Ups'!AM$6,(RL-'Look Ups'!AM$3)/('Look Ups'!AM$5-'Look Ups'!AM$3)*('Look Ups'!AM$6-'Look Ups'!AM$4)+'Look Ups'!AM$4))/100*WS</f>
        <v>300.82118181818186</v>
      </c>
      <c r="AE304" s="269">
        <f t="shared" ca="1" si="124"/>
        <v>1160.25</v>
      </c>
      <c r="AF304" s="267">
        <f t="shared" ca="1" si="125"/>
        <v>1160.25</v>
      </c>
      <c r="AG304" s="94" t="s">
        <v>145</v>
      </c>
      <c r="AH304" s="95" t="s">
        <v>146</v>
      </c>
      <c r="AI304" s="96" t="s">
        <v>147</v>
      </c>
      <c r="AJ304" s="218"/>
      <c r="AK304" s="273">
        <f>IF(C304="",0,VLOOKUP(AG304,'Look Ups'!$F$3:$G$6,2,0)*VLOOKUP(AH304,'Look Ups'!$I$3:$J$5,2,0)*VLOOKUP(AI304,'Look Ups'!$L$3:$M$7,2,0)*IF(AJ304="",1,VLOOKUP(AJ304,'Look Ups'!$O$3:$P$4,2,0)))</f>
        <v>1</v>
      </c>
      <c r="AL304" s="83">
        <v>9.3699999999999992</v>
      </c>
      <c r="AM304" s="91">
        <v>9.15</v>
      </c>
      <c r="AN304" s="91">
        <v>3.26</v>
      </c>
      <c r="AO304" s="91">
        <v>0.61</v>
      </c>
      <c r="AP304" s="91">
        <v>0.76</v>
      </c>
      <c r="AQ304" s="91">
        <v>9.02</v>
      </c>
      <c r="AR304" s="91">
        <v>0.115</v>
      </c>
      <c r="AS304" s="91">
        <v>3.43</v>
      </c>
      <c r="AT304" s="91">
        <v>7.0000000000000007E-2</v>
      </c>
      <c r="AU304" s="91">
        <v>0.46</v>
      </c>
      <c r="AV304" s="91" t="s">
        <v>148</v>
      </c>
      <c r="AW304" s="97">
        <v>0</v>
      </c>
      <c r="AX304" s="256">
        <f t="shared" si="126"/>
        <v>9.09</v>
      </c>
      <c r="AY304" s="256">
        <f t="shared" si="127"/>
        <v>1.5559499999999999</v>
      </c>
      <c r="AZ304" s="275">
        <f>IF(C304="",0,(0.5*(_ML1*LPM)+0.5*(_ML1*HB)+0.66*(P*PR)+0.66*(_ML2*RDM)+0.66*(E*ER))*VLOOKUP(BATT,'Look Ups'!$U$3:$V$4,2,0))</f>
        <v>23.563674000000002</v>
      </c>
      <c r="BA304" s="98"/>
      <c r="BB304" s="99"/>
      <c r="BC304" s="83">
        <v>8.66</v>
      </c>
      <c r="BD304" s="91">
        <v>3.3</v>
      </c>
      <c r="BE304" s="91">
        <v>3.78</v>
      </c>
      <c r="BF304" s="91">
        <v>0.05</v>
      </c>
      <c r="BG304" s="91">
        <v>7.62</v>
      </c>
      <c r="BH304" s="91"/>
      <c r="BI304" s="91"/>
      <c r="BJ304" s="91">
        <v>6.5000000000000002E-2</v>
      </c>
      <c r="BK304" s="91">
        <v>0.02</v>
      </c>
      <c r="BL304" s="97"/>
      <c r="BM304" s="275">
        <f t="shared" si="128"/>
        <v>14.854949999999999</v>
      </c>
      <c r="BN304" s="319"/>
      <c r="BO304" s="320"/>
      <c r="BP304" s="321"/>
      <c r="BQ304" s="321"/>
      <c r="BR304" s="320"/>
      <c r="BS304" s="321"/>
      <c r="BT304" s="321"/>
      <c r="BU304" s="280">
        <f t="shared" si="129"/>
        <v>0</v>
      </c>
      <c r="BV304" s="322"/>
      <c r="BW304" s="320"/>
      <c r="BX304" s="320"/>
      <c r="BY304" s="320"/>
      <c r="BZ304" s="320"/>
      <c r="CA304" s="320"/>
      <c r="CB304" s="320"/>
      <c r="CC304" s="275">
        <f t="shared" si="130"/>
        <v>0</v>
      </c>
      <c r="CD304" s="98">
        <v>6.42</v>
      </c>
      <c r="CE304" s="91">
        <v>10.23</v>
      </c>
      <c r="CF304" s="91">
        <v>8.4600000000000009</v>
      </c>
      <c r="CG304" s="91">
        <v>5.2</v>
      </c>
      <c r="CH304" s="266">
        <f t="shared" si="131"/>
        <v>80.996884735202499</v>
      </c>
      <c r="CI304" s="320"/>
      <c r="CJ304" s="280">
        <f t="shared" si="132"/>
        <v>42.395150000000001</v>
      </c>
      <c r="CK304" s="83"/>
      <c r="CL304" s="91"/>
      <c r="CM304" s="91"/>
      <c r="CN304" s="91"/>
      <c r="CO304" s="256" t="str">
        <f t="shared" si="133"/>
        <v/>
      </c>
      <c r="CP304" s="320"/>
      <c r="CQ304" s="256">
        <f t="shared" si="134"/>
        <v>0</v>
      </c>
      <c r="CR304" s="256" t="str">
        <f>IF(CO304&lt;'Look Ups'!$AC$4,"Yes","No")</f>
        <v>No</v>
      </c>
      <c r="CS304" s="293">
        <f>IF(CR304="Yes",MIN(150,('Look Ups'!$AC$4-PSCR)/('Look Ups'!$AC$4-'Look Ups'!$AC$3)*100),0)</f>
        <v>0</v>
      </c>
      <c r="CT304" s="83"/>
      <c r="CU304" s="91"/>
      <c r="CV304" s="91"/>
      <c r="CW304" s="91"/>
      <c r="CX304" s="256" t="str">
        <f t="shared" si="135"/>
        <v/>
      </c>
      <c r="CY304" s="293">
        <f>IF(PUSCR&lt;'Look Ups'!$AC$4,MIN(150,('Look Ups'!$AC$4-PUSCR)/('Look Ups'!$AC$4-'Look Ups'!$AC$3)*100),0)</f>
        <v>0</v>
      </c>
      <c r="CZ304" s="275">
        <f>IF(PUSCR&lt;'Look Ups'!$AC$4,USCRF*(USCRL1+USCRL2)/4+(USCRMG-USCRF/2)*(USCRL1+USCRL2)/3,0)</f>
        <v>0</v>
      </c>
      <c r="DA304" s="294">
        <f t="shared" si="136"/>
        <v>1</v>
      </c>
      <c r="DB304" s="256">
        <f t="shared" si="137"/>
        <v>25.119624000000002</v>
      </c>
      <c r="DC304" s="256">
        <f t="shared" si="138"/>
        <v>1</v>
      </c>
      <c r="DD304" s="256">
        <f t="shared" si="139"/>
        <v>14.854949999999999</v>
      </c>
      <c r="DE304" s="256">
        <f>IF(AZ304&gt;0,'Look Ups'!$S$3,0)</f>
        <v>1</v>
      </c>
      <c r="DF304" s="256">
        <f t="shared" si="140"/>
        <v>0</v>
      </c>
      <c r="DG304" s="256">
        <f t="shared" si="141"/>
        <v>0</v>
      </c>
      <c r="DH304" s="256">
        <f t="shared" si="142"/>
        <v>0</v>
      </c>
      <c r="DI304" s="280">
        <f t="shared" si="143"/>
        <v>0</v>
      </c>
      <c r="DJ304" s="295" t="str">
        <f t="shared" si="144"/>
        <v>-</v>
      </c>
      <c r="DK304" s="266" t="str">
        <f t="shared" si="145"/>
        <v>valid</v>
      </c>
      <c r="DL304" s="267" t="str">
        <f t="shared" si="146"/>
        <v>MGSP</v>
      </c>
      <c r="DM304" s="294">
        <f t="shared" si="147"/>
        <v>39.974574000000004</v>
      </c>
      <c r="DN304" s="256">
        <f>IF(MSASP&gt;0,'Look Ups'!$AI$4*(ZVAL*MSASP-RSAG),0)</f>
        <v>8.26206</v>
      </c>
      <c r="DO304" s="256">
        <f>IF(AND(MSASC&gt;0,(MSASC&gt;=0.36*RSAM)),('Look Ups'!$AI$3*(ZVAL*MSASC-RSAG)),(0))</f>
        <v>0</v>
      </c>
      <c r="DP304" s="256">
        <f>IF(MSASP&gt;0,'Look Ups'!$AI$5*(ZVAL*MSASP-RSAG),0)</f>
        <v>7.7112560000000014</v>
      </c>
      <c r="DQ304" s="256">
        <f>IF(MSASC&gt;0,'Look Ups'!$AI$6*(MSASC-RSAG),0)</f>
        <v>0</v>
      </c>
      <c r="DR304" s="280">
        <f>'Look Ups'!$AI$7*MAX(IF(MSAUSC&gt;0,EUSC/100*(MSAUSC-RSAG),0),IF(CR304="Yes",ELSC/100*(MSASC-RSAG),0))</f>
        <v>0</v>
      </c>
      <c r="DS304" s="280">
        <f t="shared" si="148"/>
        <v>9.0430646400000008</v>
      </c>
      <c r="DT304" s="296">
        <f t="shared" si="149"/>
        <v>48.236634000000002</v>
      </c>
      <c r="DU304" s="14"/>
    </row>
    <row r="305" spans="1:125" ht="15.6" customHeight="1" x14ac:dyDescent="0.3">
      <c r="A305" s="4"/>
      <c r="B305" s="365"/>
      <c r="C305" s="369" t="s">
        <v>1010</v>
      </c>
      <c r="D305" s="370" t="s">
        <v>273</v>
      </c>
      <c r="E305" s="371" t="s">
        <v>1011</v>
      </c>
      <c r="F305" s="252">
        <f t="shared" ca="1" si="120"/>
        <v>0.94599999999999995</v>
      </c>
      <c r="G305" s="252" t="str">
        <f ca="1">IF(OR(FLSCR="ERROR",FLSPI="ERROR"),"No",IF(TODAY()-'Look Ups'!$D$4*365&gt;I305,"WP Applied","Yes"))</f>
        <v>WP Applied</v>
      </c>
      <c r="H305" s="253" t="str">
        <f t="shared" si="121"/>
        <v>Main-Genoa-Spinnaker</v>
      </c>
      <c r="I305" s="1">
        <v>37829</v>
      </c>
      <c r="J305" s="1"/>
      <c r="K305" s="87" t="s">
        <v>1012</v>
      </c>
      <c r="L305" s="87" t="s">
        <v>159</v>
      </c>
      <c r="M305" s="207"/>
      <c r="N305" s="88" t="s">
        <v>271</v>
      </c>
      <c r="O305" s="88"/>
      <c r="P305" s="89">
        <v>5.9</v>
      </c>
      <c r="Q305" s="90">
        <v>9.5</v>
      </c>
      <c r="R305" s="87"/>
      <c r="S305" s="256">
        <f t="shared" si="122"/>
        <v>0.23750000000000002</v>
      </c>
      <c r="T305" s="117">
        <v>0.01</v>
      </c>
      <c r="U305" s="117">
        <v>0</v>
      </c>
      <c r="V305" s="258">
        <f t="shared" si="123"/>
        <v>9.49</v>
      </c>
      <c r="W305" s="259">
        <f>IF(RL&gt;0,IF(RL&gt;'Look Ups'!Y$7,'Look Ups'!Y$8,('Look Ups'!Y$3*RL^3+'Look Ups'!Y$4*RL^2+'Look Ups'!Y$5*RL+'Look Ups'!Y$6)),0)</f>
        <v>0.297674981517</v>
      </c>
      <c r="X305" s="92">
        <v>1840</v>
      </c>
      <c r="Y305" s="263">
        <f ca="1">IF(WDATE&lt;(TODAY()-'Look Ups'!$D$4*365),-WM*'Look Ups'!$D$5/100,0)</f>
        <v>-276</v>
      </c>
      <c r="Z305" s="103"/>
      <c r="AA305" s="109"/>
      <c r="AB305" s="109"/>
      <c r="AC305" s="265">
        <f>WCD+NC*'Look Ups'!$AF$3</f>
        <v>0</v>
      </c>
      <c r="AD305" s="265">
        <f ca="1">IF(RL&lt;'Look Ups'!AM$3,'Look Ups'!AM$4,IF(RL&gt;'Look Ups'!AM$5,'Look Ups'!AM$6,(RL-'Look Ups'!AM$3)/('Look Ups'!AM$5-'Look Ups'!AM$3)*('Look Ups'!AM$6-'Look Ups'!AM$4)+'Look Ups'!AM$4))/100*WS</f>
        <v>310.52509090909086</v>
      </c>
      <c r="AE305" s="269">
        <f t="shared" ca="1" si="124"/>
        <v>1564</v>
      </c>
      <c r="AF305" s="267">
        <f t="shared" ca="1" si="125"/>
        <v>1564</v>
      </c>
      <c r="AG305" s="94" t="s">
        <v>145</v>
      </c>
      <c r="AH305" s="95" t="s">
        <v>146</v>
      </c>
      <c r="AI305" s="96" t="s">
        <v>147</v>
      </c>
      <c r="AJ305" s="218"/>
      <c r="AK305" s="273">
        <f>IF(C305="",0,VLOOKUP(AG305,'Look Ups'!$F$3:$G$6,2,0)*VLOOKUP(AH305,'Look Ups'!$I$3:$J$5,2,0)*VLOOKUP(AI305,'Look Ups'!$L$3:$M$7,2,0)*IF(AJ305="",1,VLOOKUP(AJ305,'Look Ups'!$O$3:$P$4,2,0)))</f>
        <v>1</v>
      </c>
      <c r="AL305" s="83">
        <v>11.28</v>
      </c>
      <c r="AM305" s="91">
        <v>10.92</v>
      </c>
      <c r="AN305" s="91">
        <v>4.1399999999999997</v>
      </c>
      <c r="AO305" s="91">
        <v>1.6</v>
      </c>
      <c r="AP305" s="91">
        <v>0.33</v>
      </c>
      <c r="AQ305" s="91">
        <v>10.56</v>
      </c>
      <c r="AR305" s="91">
        <v>7.4999999999999997E-2</v>
      </c>
      <c r="AS305" s="91">
        <v>4.4400000000000004</v>
      </c>
      <c r="AT305" s="91">
        <v>7.4999999999999997E-2</v>
      </c>
      <c r="AU305" s="91">
        <v>0</v>
      </c>
      <c r="AV305" s="91" t="s">
        <v>148</v>
      </c>
      <c r="AW305" s="97">
        <v>0</v>
      </c>
      <c r="AX305" s="256">
        <f t="shared" si="126"/>
        <v>10.635</v>
      </c>
      <c r="AY305" s="256">
        <f t="shared" si="127"/>
        <v>0</v>
      </c>
      <c r="AZ305" s="275">
        <f>IF(C305="",0,(0.5*(_ML1*LPM)+0.5*(_ML1*HB)+0.66*(P*PR)+0.66*(_ML2*RDM)+0.66*(E*ER))*VLOOKUP(BATT,'Look Ups'!$U$3:$V$4,2,0))</f>
        <v>35.494475999999999</v>
      </c>
      <c r="BA305" s="98"/>
      <c r="BB305" s="99"/>
      <c r="BC305" s="83">
        <v>10.4</v>
      </c>
      <c r="BD305" s="91">
        <v>4.93</v>
      </c>
      <c r="BE305" s="91">
        <v>4.95</v>
      </c>
      <c r="BF305" s="91">
        <v>0.03</v>
      </c>
      <c r="BG305" s="91">
        <v>9.39</v>
      </c>
      <c r="BH305" s="91"/>
      <c r="BI305" s="91"/>
      <c r="BJ305" s="91">
        <v>0.18</v>
      </c>
      <c r="BK305" s="91">
        <v>0</v>
      </c>
      <c r="BL305" s="97"/>
      <c r="BM305" s="275">
        <f t="shared" si="128"/>
        <v>26.849542</v>
      </c>
      <c r="BN305" s="319"/>
      <c r="BO305" s="320"/>
      <c r="BP305" s="321"/>
      <c r="BQ305" s="321"/>
      <c r="BR305" s="320"/>
      <c r="BS305" s="321"/>
      <c r="BT305" s="321"/>
      <c r="BU305" s="280">
        <f t="shared" si="129"/>
        <v>0</v>
      </c>
      <c r="BV305" s="322"/>
      <c r="BW305" s="320"/>
      <c r="BX305" s="320"/>
      <c r="BY305" s="320"/>
      <c r="BZ305" s="320"/>
      <c r="CA305" s="320"/>
      <c r="CB305" s="320"/>
      <c r="CC305" s="275">
        <f t="shared" si="130"/>
        <v>0</v>
      </c>
      <c r="CD305" s="98">
        <v>7.83</v>
      </c>
      <c r="CE305" s="91">
        <v>13.42</v>
      </c>
      <c r="CF305" s="91">
        <v>11.47</v>
      </c>
      <c r="CG305" s="91">
        <v>7.18</v>
      </c>
      <c r="CH305" s="266">
        <f t="shared" si="131"/>
        <v>91.698595146871014</v>
      </c>
      <c r="CI305" s="320"/>
      <c r="CJ305" s="280">
        <f t="shared" si="132"/>
        <v>75.81079166666666</v>
      </c>
      <c r="CK305" s="83"/>
      <c r="CL305" s="91"/>
      <c r="CM305" s="91"/>
      <c r="CN305" s="91"/>
      <c r="CO305" s="256" t="str">
        <f t="shared" si="133"/>
        <v/>
      </c>
      <c r="CP305" s="320"/>
      <c r="CQ305" s="256">
        <f t="shared" si="134"/>
        <v>0</v>
      </c>
      <c r="CR305" s="256" t="str">
        <f>IF(CO305&lt;'Look Ups'!$AC$4,"Yes","No")</f>
        <v>No</v>
      </c>
      <c r="CS305" s="293">
        <f>IF(CR305="Yes",MIN(150,('Look Ups'!$AC$4-PSCR)/('Look Ups'!$AC$4-'Look Ups'!$AC$3)*100),0)</f>
        <v>0</v>
      </c>
      <c r="CT305" s="83"/>
      <c r="CU305" s="91"/>
      <c r="CV305" s="91"/>
      <c r="CW305" s="91"/>
      <c r="CX305" s="256" t="str">
        <f t="shared" si="135"/>
        <v/>
      </c>
      <c r="CY305" s="293">
        <f>IF(PUSCR&lt;'Look Ups'!$AC$4,MIN(150,('Look Ups'!$AC$4-PUSCR)/('Look Ups'!$AC$4-'Look Ups'!$AC$3)*100),0)</f>
        <v>0</v>
      </c>
      <c r="CZ305" s="275">
        <f>IF(PUSCR&lt;'Look Ups'!$AC$4,USCRF*(USCRL1+USCRL2)/4+(USCRMG-USCRF/2)*(USCRL1+USCRL2)/3,0)</f>
        <v>0</v>
      </c>
      <c r="DA305" s="294">
        <f t="shared" si="136"/>
        <v>1</v>
      </c>
      <c r="DB305" s="256">
        <f t="shared" si="137"/>
        <v>35.494475999999999</v>
      </c>
      <c r="DC305" s="256">
        <f t="shared" si="138"/>
        <v>1</v>
      </c>
      <c r="DD305" s="256">
        <f t="shared" si="139"/>
        <v>26.849542</v>
      </c>
      <c r="DE305" s="256">
        <f>IF(AZ305&gt;0,'Look Ups'!$S$3,0)</f>
        <v>1</v>
      </c>
      <c r="DF305" s="256">
        <f t="shared" si="140"/>
        <v>0</v>
      </c>
      <c r="DG305" s="256">
        <f t="shared" si="141"/>
        <v>0</v>
      </c>
      <c r="DH305" s="256">
        <f t="shared" si="142"/>
        <v>0</v>
      </c>
      <c r="DI305" s="280">
        <f t="shared" si="143"/>
        <v>0</v>
      </c>
      <c r="DJ305" s="295" t="str">
        <f t="shared" si="144"/>
        <v>-</v>
      </c>
      <c r="DK305" s="266" t="str">
        <f t="shared" si="145"/>
        <v>valid</v>
      </c>
      <c r="DL305" s="267" t="str">
        <f t="shared" si="146"/>
        <v>MGSP</v>
      </c>
      <c r="DM305" s="294">
        <f t="shared" si="147"/>
        <v>62.344017999999998</v>
      </c>
      <c r="DN305" s="256">
        <f>IF(MSASP&gt;0,'Look Ups'!$AI$4*(ZVAL*MSASP-RSAG),0)</f>
        <v>14.688374899999998</v>
      </c>
      <c r="DO305" s="256">
        <f>IF(AND(MSASC&gt;0,(MSASC&gt;=0.36*RSAM)),('Look Ups'!$AI$3*(ZVAL*MSASC-RSAG)),(0))</f>
        <v>0</v>
      </c>
      <c r="DP305" s="256">
        <f>IF(MSASP&gt;0,'Look Ups'!$AI$5*(ZVAL*MSASP-RSAG),0)</f>
        <v>13.709149906666665</v>
      </c>
      <c r="DQ305" s="256">
        <f>IF(MSASC&gt;0,'Look Ups'!$AI$6*(MSASC-RSAG),0)</f>
        <v>0</v>
      </c>
      <c r="DR305" s="280">
        <f>'Look Ups'!$AI$7*MAX(IF(MSAUSC&gt;0,EUSC/100*(MSAUSC-RSAG),0),IF(CR305="Yes",ELSC/100*(MSASC-RSAG),0))</f>
        <v>0</v>
      </c>
      <c r="DS305" s="280">
        <f t="shared" si="148"/>
        <v>12.778011359999999</v>
      </c>
      <c r="DT305" s="296">
        <f t="shared" si="149"/>
        <v>77.032392899999991</v>
      </c>
      <c r="DU305" s="14"/>
    </row>
    <row r="306" spans="1:125" ht="15.6" customHeight="1" x14ac:dyDescent="0.3">
      <c r="A306" s="4"/>
      <c r="B306" s="365"/>
      <c r="C306" s="369" t="s">
        <v>1013</v>
      </c>
      <c r="D306" s="370" t="s">
        <v>1014</v>
      </c>
      <c r="E306" s="371" t="s">
        <v>1015</v>
      </c>
      <c r="F306" s="252">
        <f t="shared" ca="1" si="120"/>
        <v>0.70899999999999996</v>
      </c>
      <c r="G306" s="252" t="str">
        <f ca="1">IF(OR(FLSCR="ERROR",FLSPI="ERROR"),"No",IF(TODAY()-'Look Ups'!$D$4*365&gt;I306,"WP Applied","Yes"))</f>
        <v>WP Applied</v>
      </c>
      <c r="H306" s="253" t="str">
        <f t="shared" si="121"/>
        <v>Main-Genoa-Spinnaker</v>
      </c>
      <c r="I306" s="1">
        <v>37988</v>
      </c>
      <c r="J306" s="1"/>
      <c r="K306" s="87" t="s">
        <v>664</v>
      </c>
      <c r="L306" s="87" t="s">
        <v>664</v>
      </c>
      <c r="M306" s="207"/>
      <c r="N306" s="88" t="s">
        <v>271</v>
      </c>
      <c r="O306" s="88"/>
      <c r="P306" s="89"/>
      <c r="Q306" s="90">
        <v>7.3</v>
      </c>
      <c r="R306" s="87"/>
      <c r="S306" s="256">
        <f t="shared" si="122"/>
        <v>0.1825</v>
      </c>
      <c r="T306" s="117">
        <v>0.42</v>
      </c>
      <c r="U306" s="117">
        <v>0</v>
      </c>
      <c r="V306" s="258">
        <f t="shared" si="123"/>
        <v>6.88</v>
      </c>
      <c r="W306" s="259">
        <f>IF(RL&gt;0,IF(RL&gt;'Look Ups'!Y$7,'Look Ups'!Y$8,('Look Ups'!Y$3*RL^3+'Look Ups'!Y$4*RL^2+'Look Ups'!Y$5*RL+'Look Ups'!Y$6)),0)</f>
        <v>0.28913864217600005</v>
      </c>
      <c r="X306" s="92">
        <v>1260</v>
      </c>
      <c r="Y306" s="263">
        <f ca="1">IF(WDATE&lt;(TODAY()-'Look Ups'!$D$4*365),-WM*'Look Ups'!$D$5/100,0)</f>
        <v>-189</v>
      </c>
      <c r="Z306" s="103"/>
      <c r="AA306" s="109"/>
      <c r="AB306" s="109"/>
      <c r="AC306" s="265">
        <f>WCD+NC*'Look Ups'!$AF$3</f>
        <v>0</v>
      </c>
      <c r="AD306" s="265">
        <f ca="1">IF(RL&lt;'Look Ups'!AM$3,'Look Ups'!AM$4,IF(RL&gt;'Look Ups'!AM$5,'Look Ups'!AM$6,(RL-'Look Ups'!AM$3)/('Look Ups'!AM$5-'Look Ups'!AM$3)*('Look Ups'!AM$6-'Look Ups'!AM$4)+'Look Ups'!AM$4))/100*WS</f>
        <v>314.28981818181819</v>
      </c>
      <c r="AE306" s="269">
        <f t="shared" ca="1" si="124"/>
        <v>1071</v>
      </c>
      <c r="AF306" s="267">
        <f t="shared" ca="1" si="125"/>
        <v>1071</v>
      </c>
      <c r="AG306" s="94" t="s">
        <v>145</v>
      </c>
      <c r="AH306" s="95" t="s">
        <v>146</v>
      </c>
      <c r="AI306" s="96" t="s">
        <v>147</v>
      </c>
      <c r="AJ306" s="218"/>
      <c r="AK306" s="273">
        <f>IF(C306="",0,VLOOKUP(AG306,'Look Ups'!$F$3:$G$6,2,0)*VLOOKUP(AH306,'Look Ups'!$I$3:$J$5,2,0)*VLOOKUP(AI306,'Look Ups'!$L$3:$M$7,2,0)*IF(AJ306="",1,VLOOKUP(AJ306,'Look Ups'!$O$3:$P$4,2,0)))</f>
        <v>1</v>
      </c>
      <c r="AL306" s="83">
        <v>8.8000000000000007</v>
      </c>
      <c r="AM306" s="91">
        <v>8.75</v>
      </c>
      <c r="AN306" s="91">
        <v>3.23</v>
      </c>
      <c r="AO306" s="91">
        <v>0.2</v>
      </c>
      <c r="AP306" s="91">
        <v>0.57999999999999996</v>
      </c>
      <c r="AQ306" s="91">
        <v>8.35</v>
      </c>
      <c r="AR306" s="91">
        <v>0.2</v>
      </c>
      <c r="AS306" s="91">
        <v>3.32</v>
      </c>
      <c r="AT306" s="91">
        <v>0.03</v>
      </c>
      <c r="AU306" s="91">
        <v>0</v>
      </c>
      <c r="AV306" s="91" t="s">
        <v>148</v>
      </c>
      <c r="AW306" s="97">
        <v>0</v>
      </c>
      <c r="AX306" s="256">
        <f t="shared" si="126"/>
        <v>8.379999999999999</v>
      </c>
      <c r="AY306" s="256">
        <f t="shared" si="127"/>
        <v>0</v>
      </c>
      <c r="AZ306" s="275">
        <f>IF(C306="",0,(0.5*(_ML1*LPM)+0.5*(_ML1*HB)+0.66*(P*PR)+0.66*(_ML2*RDM)+0.66*(E*ER))*VLOOKUP(BATT,'Look Ups'!$U$3:$V$4,2,0))</f>
        <v>19.609436000000002</v>
      </c>
      <c r="BA306" s="98"/>
      <c r="BB306" s="99"/>
      <c r="BC306" s="83">
        <v>8.0299999999999994</v>
      </c>
      <c r="BD306" s="91">
        <v>2.2000000000000002</v>
      </c>
      <c r="BE306" s="91">
        <v>2.73</v>
      </c>
      <c r="BF306" s="91">
        <v>-0.13</v>
      </c>
      <c r="BG306" s="91">
        <v>6.86</v>
      </c>
      <c r="BH306" s="91"/>
      <c r="BI306" s="91"/>
      <c r="BJ306" s="91">
        <v>-0.05</v>
      </c>
      <c r="BK306" s="91">
        <v>0.1</v>
      </c>
      <c r="BL306" s="97">
        <v>0</v>
      </c>
      <c r="BM306" s="275">
        <f t="shared" si="128"/>
        <v>8.9023659999999989</v>
      </c>
      <c r="BN306" s="319"/>
      <c r="BO306" s="320"/>
      <c r="BP306" s="321"/>
      <c r="BQ306" s="321"/>
      <c r="BR306" s="320"/>
      <c r="BS306" s="321"/>
      <c r="BT306" s="321"/>
      <c r="BU306" s="280">
        <f t="shared" si="129"/>
        <v>0</v>
      </c>
      <c r="BV306" s="322"/>
      <c r="BW306" s="320"/>
      <c r="BX306" s="320"/>
      <c r="BY306" s="320"/>
      <c r="BZ306" s="320"/>
      <c r="CA306" s="320"/>
      <c r="CB306" s="320"/>
      <c r="CC306" s="275">
        <f t="shared" si="130"/>
        <v>0</v>
      </c>
      <c r="CD306" s="98">
        <v>4.9000000000000004</v>
      </c>
      <c r="CE306" s="91">
        <v>9.3800000000000008</v>
      </c>
      <c r="CF306" s="91">
        <v>9.3800000000000008</v>
      </c>
      <c r="CG306" s="91">
        <v>4.4000000000000004</v>
      </c>
      <c r="CH306" s="266">
        <f t="shared" si="131"/>
        <v>89.795918367346943</v>
      </c>
      <c r="CI306" s="320"/>
      <c r="CJ306" s="280">
        <f t="shared" si="132"/>
        <v>35.175000000000011</v>
      </c>
      <c r="CK306" s="83"/>
      <c r="CL306" s="91"/>
      <c r="CM306" s="91"/>
      <c r="CN306" s="91"/>
      <c r="CO306" s="256" t="str">
        <f t="shared" si="133"/>
        <v/>
      </c>
      <c r="CP306" s="320"/>
      <c r="CQ306" s="256">
        <f t="shared" si="134"/>
        <v>0</v>
      </c>
      <c r="CR306" s="256" t="str">
        <f>IF(CO306&lt;'Look Ups'!$AC$4,"Yes","No")</f>
        <v>No</v>
      </c>
      <c r="CS306" s="293">
        <f>IF(CR306="Yes",MIN(150,('Look Ups'!$AC$4-PSCR)/('Look Ups'!$AC$4-'Look Ups'!$AC$3)*100),0)</f>
        <v>0</v>
      </c>
      <c r="CT306" s="83"/>
      <c r="CU306" s="91"/>
      <c r="CV306" s="91"/>
      <c r="CW306" s="91"/>
      <c r="CX306" s="256" t="str">
        <f t="shared" si="135"/>
        <v/>
      </c>
      <c r="CY306" s="293">
        <f>IF(PUSCR&lt;'Look Ups'!$AC$4,MIN(150,('Look Ups'!$AC$4-PUSCR)/('Look Ups'!$AC$4-'Look Ups'!$AC$3)*100),0)</f>
        <v>0</v>
      </c>
      <c r="CZ306" s="275">
        <f>IF(PUSCR&lt;'Look Ups'!$AC$4,USCRF*(USCRL1+USCRL2)/4+(USCRMG-USCRF/2)*(USCRL1+USCRL2)/3,0)</f>
        <v>0</v>
      </c>
      <c r="DA306" s="294">
        <f t="shared" si="136"/>
        <v>1</v>
      </c>
      <c r="DB306" s="256">
        <f t="shared" si="137"/>
        <v>19.609436000000002</v>
      </c>
      <c r="DC306" s="256">
        <f t="shared" si="138"/>
        <v>1</v>
      </c>
      <c r="DD306" s="256">
        <f t="shared" si="139"/>
        <v>8.9023659999999989</v>
      </c>
      <c r="DE306" s="256">
        <f>IF(AZ306&gt;0,'Look Ups'!$S$3,0)</f>
        <v>1</v>
      </c>
      <c r="DF306" s="256">
        <f t="shared" si="140"/>
        <v>0</v>
      </c>
      <c r="DG306" s="256">
        <f t="shared" si="141"/>
        <v>0</v>
      </c>
      <c r="DH306" s="256">
        <f t="shared" si="142"/>
        <v>0</v>
      </c>
      <c r="DI306" s="280">
        <f t="shared" si="143"/>
        <v>0</v>
      </c>
      <c r="DJ306" s="295" t="str">
        <f t="shared" si="144"/>
        <v>-</v>
      </c>
      <c r="DK306" s="266" t="str">
        <f t="shared" si="145"/>
        <v>valid</v>
      </c>
      <c r="DL306" s="267" t="str">
        <f t="shared" si="146"/>
        <v>MGSP</v>
      </c>
      <c r="DM306" s="294">
        <f t="shared" si="147"/>
        <v>28.511802000000003</v>
      </c>
      <c r="DN306" s="256">
        <f>IF(MSASP&gt;0,'Look Ups'!$AI$4*(ZVAL*MSASP-RSAG),0)</f>
        <v>7.8817902000000029</v>
      </c>
      <c r="DO306" s="256">
        <f>IF(AND(MSASC&gt;0,(MSASC&gt;=0.36*RSAM)),('Look Ups'!$AI$3*(ZVAL*MSASC-RSAG)),(0))</f>
        <v>0</v>
      </c>
      <c r="DP306" s="256">
        <f>IF(MSASP&gt;0,'Look Ups'!$AI$5*(ZVAL*MSASP-RSAG),0)</f>
        <v>7.3563375200000038</v>
      </c>
      <c r="DQ306" s="256">
        <f>IF(MSASC&gt;0,'Look Ups'!$AI$6*(MSASC-RSAG),0)</f>
        <v>0</v>
      </c>
      <c r="DR306" s="280">
        <f>'Look Ups'!$AI$7*MAX(IF(MSAUSC&gt;0,EUSC/100*(MSAUSC-RSAG),0),IF(CR306="Yes",ELSC/100*(MSASC-RSAG),0))</f>
        <v>0</v>
      </c>
      <c r="DS306" s="280">
        <f t="shared" si="148"/>
        <v>7.0593969600000008</v>
      </c>
      <c r="DT306" s="296">
        <f t="shared" si="149"/>
        <v>36.393592200000008</v>
      </c>
      <c r="DU306" s="14"/>
    </row>
    <row r="307" spans="1:125" ht="15.6" customHeight="1" x14ac:dyDescent="0.3">
      <c r="A307" s="4"/>
      <c r="B307" s="365"/>
      <c r="C307" s="369" t="s">
        <v>1016</v>
      </c>
      <c r="D307" s="370" t="s">
        <v>1017</v>
      </c>
      <c r="E307" s="371" t="s">
        <v>632</v>
      </c>
      <c r="F307" s="252">
        <f t="shared" ca="1" si="120"/>
        <v>0.98099999999999998</v>
      </c>
      <c r="G307" s="252" t="str">
        <f ca="1">IF(OR(FLSCR="ERROR",FLSPI="ERROR"),"No",IF(TODAY()-'Look Ups'!$D$4*365&gt;I307,"WP Applied","Yes"))</f>
        <v>WP Applied</v>
      </c>
      <c r="H307" s="253" t="str">
        <f t="shared" si="121"/>
        <v>Main-Genoa-Spinnaker</v>
      </c>
      <c r="I307" s="1">
        <v>38624</v>
      </c>
      <c r="J307" s="1"/>
      <c r="K307" s="87" t="s">
        <v>1018</v>
      </c>
      <c r="L307" s="87" t="s">
        <v>182</v>
      </c>
      <c r="M307" s="207"/>
      <c r="N307" s="88" t="s">
        <v>1019</v>
      </c>
      <c r="O307" s="88"/>
      <c r="P307" s="89"/>
      <c r="Q307" s="90">
        <v>8</v>
      </c>
      <c r="R307" s="87"/>
      <c r="S307" s="256">
        <f t="shared" si="122"/>
        <v>0.2</v>
      </c>
      <c r="T307" s="117">
        <v>0</v>
      </c>
      <c r="U307" s="117">
        <v>0</v>
      </c>
      <c r="V307" s="258">
        <f t="shared" si="123"/>
        <v>8</v>
      </c>
      <c r="W307" s="259">
        <f>IF(RL&gt;0,IF(RL&gt;'Look Ups'!Y$7,'Look Ups'!Y$8,('Look Ups'!Y$3*RL^3+'Look Ups'!Y$4*RL^2+'Look Ups'!Y$5*RL+'Look Ups'!Y$6)),0)</f>
        <v>0.293796</v>
      </c>
      <c r="X307" s="92">
        <v>915</v>
      </c>
      <c r="Y307" s="263">
        <f ca="1">IF(WDATE&lt;(TODAY()-'Look Ups'!$D$4*365),-WM*'Look Ups'!$D$5/100,0)</f>
        <v>-137.25</v>
      </c>
      <c r="Z307" s="103"/>
      <c r="AA307" s="109"/>
      <c r="AB307" s="109"/>
      <c r="AC307" s="265">
        <f>WCD+NC*'Look Ups'!$AF$3</f>
        <v>0</v>
      </c>
      <c r="AD307" s="265">
        <f ca="1">IF(RL&lt;'Look Ups'!AM$3,'Look Ups'!AM$4,IF(RL&gt;'Look Ups'!AM$5,'Look Ups'!AM$6,(RL-'Look Ups'!AM$3)/('Look Ups'!AM$5-'Look Ups'!AM$3)*('Look Ups'!AM$6-'Look Ups'!AM$4)+'Look Ups'!AM$4))/100*WS</f>
        <v>196.55863636363637</v>
      </c>
      <c r="AE307" s="269">
        <f t="shared" ca="1" si="124"/>
        <v>777.75</v>
      </c>
      <c r="AF307" s="267">
        <f t="shared" ca="1" si="125"/>
        <v>777.75</v>
      </c>
      <c r="AG307" s="94" t="s">
        <v>145</v>
      </c>
      <c r="AH307" s="95" t="s">
        <v>146</v>
      </c>
      <c r="AI307" s="96" t="s">
        <v>147</v>
      </c>
      <c r="AJ307" s="218"/>
      <c r="AK307" s="273">
        <f>IF(C307="",0,VLOOKUP(AG307,'Look Ups'!$F$3:$G$6,2,0)*VLOOKUP(AH307,'Look Ups'!$I$3:$J$5,2,0)*VLOOKUP(AI307,'Look Ups'!$L$3:$M$7,2,0)*IF(AJ307="",1,VLOOKUP(AJ307,'Look Ups'!$O$3:$P$4,2,0)))</f>
        <v>1</v>
      </c>
      <c r="AL307" s="83">
        <v>11.02</v>
      </c>
      <c r="AM307" s="91">
        <v>11.03</v>
      </c>
      <c r="AN307" s="91">
        <v>3.01</v>
      </c>
      <c r="AO307" s="91">
        <v>0.36</v>
      </c>
      <c r="AP307" s="91">
        <v>0.98</v>
      </c>
      <c r="AQ307" s="91">
        <v>10.94</v>
      </c>
      <c r="AR307" s="91">
        <v>0.16</v>
      </c>
      <c r="AS307" s="91">
        <v>3.07</v>
      </c>
      <c r="AT307" s="91">
        <v>0.2</v>
      </c>
      <c r="AU307" s="91">
        <v>0.44</v>
      </c>
      <c r="AV307" s="91" t="s">
        <v>148</v>
      </c>
      <c r="AW307" s="97">
        <v>0</v>
      </c>
      <c r="AX307" s="256">
        <f t="shared" si="126"/>
        <v>11.139999999999999</v>
      </c>
      <c r="AY307" s="256">
        <f t="shared" si="127"/>
        <v>1.8050999999999999</v>
      </c>
      <c r="AZ307" s="275">
        <f>IF(C307="",0,(0.5*(_ML1*LPM)+0.5*(_ML1*HB)+0.66*(P*PR)+0.66*(_ML2*RDM)+0.66*(E*ER))*VLOOKUP(BATT,'Look Ups'!$U$3:$V$4,2,0))</f>
        <v>27.263407999999995</v>
      </c>
      <c r="BA307" s="98"/>
      <c r="BB307" s="99"/>
      <c r="BC307" s="83">
        <v>9.6</v>
      </c>
      <c r="BD307" s="91">
        <v>4.07</v>
      </c>
      <c r="BE307" s="91">
        <v>4.4000000000000004</v>
      </c>
      <c r="BF307" s="91">
        <v>0.2</v>
      </c>
      <c r="BG307" s="91">
        <v>8.86</v>
      </c>
      <c r="BH307" s="91"/>
      <c r="BI307" s="91"/>
      <c r="BJ307" s="91">
        <v>-0.36</v>
      </c>
      <c r="BK307" s="91">
        <v>-0.08</v>
      </c>
      <c r="BL307" s="97"/>
      <c r="BM307" s="275">
        <f t="shared" si="128"/>
        <v>17.504784000000001</v>
      </c>
      <c r="BN307" s="319"/>
      <c r="BO307" s="320"/>
      <c r="BP307" s="321"/>
      <c r="BQ307" s="321"/>
      <c r="BR307" s="320"/>
      <c r="BS307" s="321"/>
      <c r="BT307" s="321"/>
      <c r="BU307" s="280">
        <f t="shared" si="129"/>
        <v>0</v>
      </c>
      <c r="BV307" s="322"/>
      <c r="BW307" s="320"/>
      <c r="BX307" s="320"/>
      <c r="BY307" s="320"/>
      <c r="BZ307" s="320"/>
      <c r="CA307" s="320"/>
      <c r="CB307" s="320"/>
      <c r="CC307" s="275">
        <f t="shared" si="130"/>
        <v>0</v>
      </c>
      <c r="CD307" s="98">
        <v>5.72</v>
      </c>
      <c r="CE307" s="91">
        <v>11.18</v>
      </c>
      <c r="CF307" s="91">
        <v>9.32</v>
      </c>
      <c r="CG307" s="91">
        <v>5.44</v>
      </c>
      <c r="CH307" s="266">
        <f t="shared" si="131"/>
        <v>95.104895104895121</v>
      </c>
      <c r="CI307" s="320"/>
      <c r="CJ307" s="280">
        <f t="shared" si="132"/>
        <v>46.945</v>
      </c>
      <c r="CK307" s="83"/>
      <c r="CL307" s="91"/>
      <c r="CM307" s="91"/>
      <c r="CN307" s="91"/>
      <c r="CO307" s="256" t="str">
        <f t="shared" si="133"/>
        <v/>
      </c>
      <c r="CP307" s="320"/>
      <c r="CQ307" s="256">
        <f t="shared" si="134"/>
        <v>0</v>
      </c>
      <c r="CR307" s="256" t="str">
        <f>IF(CO307&lt;'Look Ups'!$AC$4,"Yes","No")</f>
        <v>No</v>
      </c>
      <c r="CS307" s="293">
        <f>IF(CR307="Yes",MIN(150,('Look Ups'!$AC$4-PSCR)/('Look Ups'!$AC$4-'Look Ups'!$AC$3)*100),0)</f>
        <v>0</v>
      </c>
      <c r="CT307" s="83"/>
      <c r="CU307" s="91"/>
      <c r="CV307" s="91"/>
      <c r="CW307" s="91"/>
      <c r="CX307" s="256" t="str">
        <f t="shared" si="135"/>
        <v/>
      </c>
      <c r="CY307" s="293">
        <f>IF(PUSCR&lt;'Look Ups'!$AC$4,MIN(150,('Look Ups'!$AC$4-PUSCR)/('Look Ups'!$AC$4-'Look Ups'!$AC$3)*100),0)</f>
        <v>0</v>
      </c>
      <c r="CZ307" s="275">
        <f>IF(PUSCR&lt;'Look Ups'!$AC$4,USCRF*(USCRL1+USCRL2)/4+(USCRMG-USCRF/2)*(USCRL1+USCRL2)/3,0)</f>
        <v>0</v>
      </c>
      <c r="DA307" s="294">
        <f t="shared" si="136"/>
        <v>1</v>
      </c>
      <c r="DB307" s="256">
        <f t="shared" si="137"/>
        <v>29.068507999999994</v>
      </c>
      <c r="DC307" s="256">
        <f t="shared" si="138"/>
        <v>1</v>
      </c>
      <c r="DD307" s="256">
        <f t="shared" si="139"/>
        <v>17.504784000000001</v>
      </c>
      <c r="DE307" s="256">
        <f>IF(AZ307&gt;0,'Look Ups'!$S$3,0)</f>
        <v>1</v>
      </c>
      <c r="DF307" s="256">
        <f t="shared" si="140"/>
        <v>0</v>
      </c>
      <c r="DG307" s="256">
        <f t="shared" si="141"/>
        <v>0</v>
      </c>
      <c r="DH307" s="256">
        <f t="shared" si="142"/>
        <v>0</v>
      </c>
      <c r="DI307" s="280">
        <f t="shared" si="143"/>
        <v>0</v>
      </c>
      <c r="DJ307" s="295" t="str">
        <f t="shared" si="144"/>
        <v>-</v>
      </c>
      <c r="DK307" s="266" t="str">
        <f t="shared" si="145"/>
        <v>valid</v>
      </c>
      <c r="DL307" s="267" t="str">
        <f t="shared" si="146"/>
        <v>MGSP</v>
      </c>
      <c r="DM307" s="294">
        <f t="shared" si="147"/>
        <v>46.573291999999995</v>
      </c>
      <c r="DN307" s="256">
        <f>IF(MSASP&gt;0,'Look Ups'!$AI$4*(ZVAL*MSASP-RSAG),0)</f>
        <v>8.8320647999999995</v>
      </c>
      <c r="DO307" s="256">
        <f>IF(AND(MSASC&gt;0,(MSASC&gt;=0.36*RSAM)),('Look Ups'!$AI$3*(ZVAL*MSASC-RSAG)),(0))</f>
        <v>0</v>
      </c>
      <c r="DP307" s="256">
        <f>IF(MSASP&gt;0,'Look Ups'!$AI$5*(ZVAL*MSASP-RSAG),0)</f>
        <v>8.24326048</v>
      </c>
      <c r="DQ307" s="256">
        <f>IF(MSASC&gt;0,'Look Ups'!$AI$6*(MSASC-RSAG),0)</f>
        <v>0</v>
      </c>
      <c r="DR307" s="280">
        <f>'Look Ups'!$AI$7*MAX(IF(MSAUSC&gt;0,EUSC/100*(MSAUSC-RSAG),0),IF(CR307="Yes",ELSC/100*(MSASC-RSAG),0))</f>
        <v>0</v>
      </c>
      <c r="DS307" s="280">
        <f t="shared" si="148"/>
        <v>10.464662879999997</v>
      </c>
      <c r="DT307" s="296">
        <f t="shared" si="149"/>
        <v>55.405356799999993</v>
      </c>
      <c r="DU307" s="14"/>
    </row>
    <row r="308" spans="1:125" ht="15.6" customHeight="1" x14ac:dyDescent="0.3">
      <c r="A308" s="4"/>
      <c r="B308" s="365"/>
      <c r="C308" s="369" t="s">
        <v>1020</v>
      </c>
      <c r="D308" s="370" t="s">
        <v>189</v>
      </c>
      <c r="E308" s="371" t="s">
        <v>1021</v>
      </c>
      <c r="F308" s="252">
        <f t="shared" ca="1" si="120"/>
        <v>0.96399999999999997</v>
      </c>
      <c r="G308" s="252" t="str">
        <f ca="1">IF(OR(FLSCR="ERROR",FLSPI="ERROR"),"No",IF(TODAY()-'Look Ups'!$D$4*365&gt;I308,"WP Applied","Yes"))</f>
        <v>Yes</v>
      </c>
      <c r="H308" s="253" t="str">
        <f t="shared" si="121"/>
        <v>Main-Genoa-Screacher (Upwind)-Spinnaker</v>
      </c>
      <c r="I308" s="1">
        <v>43682</v>
      </c>
      <c r="J308" s="1">
        <v>40758</v>
      </c>
      <c r="K308" s="87" t="s">
        <v>1022</v>
      </c>
      <c r="L308" s="87" t="s">
        <v>192</v>
      </c>
      <c r="M308" s="207"/>
      <c r="N308" s="88" t="s">
        <v>143</v>
      </c>
      <c r="O308" s="88" t="s">
        <v>144</v>
      </c>
      <c r="P308" s="89"/>
      <c r="Q308" s="90">
        <v>9.74</v>
      </c>
      <c r="R308" s="87"/>
      <c r="S308" s="256">
        <f t="shared" si="122"/>
        <v>0.24350000000000002</v>
      </c>
      <c r="T308" s="117">
        <v>0.11</v>
      </c>
      <c r="U308" s="117">
        <v>0</v>
      </c>
      <c r="V308" s="258">
        <f t="shared" si="123"/>
        <v>9.6300000000000008</v>
      </c>
      <c r="W308" s="259">
        <f>IF(RL&gt;0,IF(RL&gt;'Look Ups'!Y$7,'Look Ups'!Y$8,('Look Ups'!Y$3*RL^3+'Look Ups'!Y$4*RL^2+'Look Ups'!Y$5*RL+'Look Ups'!Y$6)),0)</f>
        <v>0.29792419945100002</v>
      </c>
      <c r="X308" s="92">
        <v>1995</v>
      </c>
      <c r="Y308" s="263">
        <f ca="1">IF(WDATE&lt;(TODAY()-'Look Ups'!$D$4*365),-WM*'Look Ups'!$D$5/100,0)</f>
        <v>0</v>
      </c>
      <c r="Z308" s="103"/>
      <c r="AA308" s="109"/>
      <c r="AB308" s="109"/>
      <c r="AC308" s="265">
        <f>WCD+NC*'Look Ups'!$AF$3</f>
        <v>0</v>
      </c>
      <c r="AD308" s="265">
        <f ca="1">IF(RL&lt;'Look Ups'!AM$3,'Look Ups'!AM$4,IF(RL&gt;'Look Ups'!AM$5,'Look Ups'!AM$6,(RL-'Look Ups'!AM$3)/('Look Ups'!AM$5-'Look Ups'!AM$3)*('Look Ups'!AM$6-'Look Ups'!AM$4)+'Look Ups'!AM$4))/100*WS</f>
        <v>385.94181818181806</v>
      </c>
      <c r="AE308" s="269">
        <f t="shared" ca="1" si="124"/>
        <v>1995</v>
      </c>
      <c r="AF308" s="267">
        <f t="shared" ca="1" si="125"/>
        <v>1995</v>
      </c>
      <c r="AG308" s="94" t="s">
        <v>145</v>
      </c>
      <c r="AH308" s="95" t="s">
        <v>146</v>
      </c>
      <c r="AI308" s="96" t="s">
        <v>147</v>
      </c>
      <c r="AJ308" s="218"/>
      <c r="AK308" s="273">
        <f>IF(C308="",0,VLOOKUP(AG308,'Look Ups'!$F$3:$G$6,2,0)*VLOOKUP(AH308,'Look Ups'!$I$3:$J$5,2,0)*VLOOKUP(AI308,'Look Ups'!$L$3:$M$7,2,0)*IF(AJ308="",1,VLOOKUP(AJ308,'Look Ups'!$O$3:$P$4,2,0)))</f>
        <v>1</v>
      </c>
      <c r="AL308" s="83">
        <v>13.065</v>
      </c>
      <c r="AM308" s="91">
        <v>12.925000000000001</v>
      </c>
      <c r="AN308" s="91">
        <v>4.157</v>
      </c>
      <c r="AO308" s="91">
        <v>1.9849999999999999</v>
      </c>
      <c r="AP308" s="91">
        <v>0.182</v>
      </c>
      <c r="AQ308" s="91">
        <v>12.97</v>
      </c>
      <c r="AR308" s="91">
        <v>0.23</v>
      </c>
      <c r="AS308" s="91">
        <v>4.2149999999999999</v>
      </c>
      <c r="AT308" s="91">
        <v>2.3E-2</v>
      </c>
      <c r="AU308" s="91">
        <v>0</v>
      </c>
      <c r="AV308" s="91" t="s">
        <v>148</v>
      </c>
      <c r="AW308" s="97">
        <v>0</v>
      </c>
      <c r="AX308" s="256">
        <f t="shared" si="126"/>
        <v>12.993</v>
      </c>
      <c r="AY308" s="256">
        <f t="shared" si="127"/>
        <v>0</v>
      </c>
      <c r="AZ308" s="275">
        <f>IF(C308="",0,(0.5*(_ML1*LPM)+0.5*(_ML1*HB)+0.66*(P*PR)+0.66*(_ML2*RDM)+0.66*(E*ER))*VLOOKUP(BATT,'Look Ups'!$U$3:$V$4,2,0))</f>
        <v>43.707995699999998</v>
      </c>
      <c r="BA308" s="98"/>
      <c r="BB308" s="99"/>
      <c r="BC308" s="83">
        <v>11.62</v>
      </c>
      <c r="BD308" s="91">
        <v>3.64</v>
      </c>
      <c r="BE308" s="91">
        <v>4.1500000000000004</v>
      </c>
      <c r="BF308" s="91">
        <v>0.17</v>
      </c>
      <c r="BG308" s="91">
        <v>10.32</v>
      </c>
      <c r="BH308" s="91"/>
      <c r="BI308" s="91"/>
      <c r="BJ308" s="91">
        <v>0.06</v>
      </c>
      <c r="BK308" s="91">
        <v>0.06</v>
      </c>
      <c r="BL308" s="97">
        <v>0</v>
      </c>
      <c r="BM308" s="275">
        <f t="shared" si="128"/>
        <v>22.482854</v>
      </c>
      <c r="BN308" s="319"/>
      <c r="BO308" s="320"/>
      <c r="BP308" s="321"/>
      <c r="BQ308" s="321"/>
      <c r="BR308" s="320"/>
      <c r="BS308" s="321"/>
      <c r="BT308" s="321"/>
      <c r="BU308" s="280">
        <f t="shared" si="129"/>
        <v>0</v>
      </c>
      <c r="BV308" s="322"/>
      <c r="BW308" s="320"/>
      <c r="BX308" s="320"/>
      <c r="BY308" s="320"/>
      <c r="BZ308" s="320"/>
      <c r="CA308" s="320"/>
      <c r="CB308" s="320"/>
      <c r="CC308" s="275">
        <f t="shared" si="130"/>
        <v>0</v>
      </c>
      <c r="CD308" s="98">
        <v>9.94</v>
      </c>
      <c r="CE308" s="91">
        <v>17.25</v>
      </c>
      <c r="CF308" s="91">
        <v>14.05</v>
      </c>
      <c r="CG308" s="91">
        <v>9.07</v>
      </c>
      <c r="CH308" s="266">
        <f t="shared" si="131"/>
        <v>91.247484909456745</v>
      </c>
      <c r="CI308" s="320"/>
      <c r="CJ308" s="280">
        <f t="shared" si="132"/>
        <v>120.55716666666667</v>
      </c>
      <c r="CK308" s="83">
        <v>7.18</v>
      </c>
      <c r="CL308" s="91">
        <v>13.2</v>
      </c>
      <c r="CM308" s="91">
        <v>11.52</v>
      </c>
      <c r="CN308" s="91">
        <v>3.61</v>
      </c>
      <c r="CO308" s="256">
        <f t="shared" si="133"/>
        <v>50.278551532033418</v>
      </c>
      <c r="CP308" s="320"/>
      <c r="CQ308" s="256">
        <f t="shared" si="134"/>
        <v>44.537199999999999</v>
      </c>
      <c r="CR308" s="256" t="str">
        <f>IF(CO308&lt;'Look Ups'!$AC$4,"Yes","No")</f>
        <v>Yes</v>
      </c>
      <c r="CS308" s="293">
        <f>IF(CR308="Yes",MIN(150,('Look Ups'!$AC$4-PSCR)/('Look Ups'!$AC$4-'Look Ups'!$AC$3)*100),0)</f>
        <v>34.428969359331631</v>
      </c>
      <c r="CT308" s="83"/>
      <c r="CU308" s="91"/>
      <c r="CV308" s="91"/>
      <c r="CW308" s="91"/>
      <c r="CX308" s="256" t="str">
        <f t="shared" si="135"/>
        <v/>
      </c>
      <c r="CY308" s="293">
        <f>IF(PUSCR&lt;'Look Ups'!$AC$4,MIN(150,('Look Ups'!$AC$4-PUSCR)/('Look Ups'!$AC$4-'Look Ups'!$AC$3)*100),0)</f>
        <v>0</v>
      </c>
      <c r="CZ308" s="275">
        <f>IF(PUSCR&lt;'Look Ups'!$AC$4,USCRF*(USCRL1+USCRL2)/4+(USCRMG-USCRF/2)*(USCRL1+USCRL2)/3,0)</f>
        <v>0</v>
      </c>
      <c r="DA308" s="294">
        <f t="shared" si="136"/>
        <v>1</v>
      </c>
      <c r="DB308" s="256">
        <f t="shared" si="137"/>
        <v>43.707995699999998</v>
      </c>
      <c r="DC308" s="256">
        <f t="shared" si="138"/>
        <v>1</v>
      </c>
      <c r="DD308" s="256">
        <f t="shared" si="139"/>
        <v>22.482854</v>
      </c>
      <c r="DE308" s="256">
        <f>IF(AZ308&gt;0,'Look Ups'!$S$3,0)</f>
        <v>1</v>
      </c>
      <c r="DF308" s="256">
        <f t="shared" si="140"/>
        <v>0</v>
      </c>
      <c r="DG308" s="256">
        <f t="shared" si="141"/>
        <v>0</v>
      </c>
      <c r="DH308" s="256">
        <f t="shared" si="142"/>
        <v>0</v>
      </c>
      <c r="DI308" s="280">
        <f t="shared" si="143"/>
        <v>0</v>
      </c>
      <c r="DJ308" s="295" t="str">
        <f t="shared" si="144"/>
        <v>valid</v>
      </c>
      <c r="DK308" s="266" t="str">
        <f t="shared" si="145"/>
        <v>valid</v>
      </c>
      <c r="DL308" s="267" t="str">
        <f t="shared" si="146"/>
        <v>MGScrSP</v>
      </c>
      <c r="DM308" s="294">
        <f t="shared" si="147"/>
        <v>66.190849700000001</v>
      </c>
      <c r="DN308" s="256">
        <f>IF(MSASP&gt;0,'Look Ups'!$AI$4*(ZVAL*MSASP-RSAG),0)</f>
        <v>29.422293799999998</v>
      </c>
      <c r="DO308" s="256">
        <f>IF(AND(MSASC&gt;0,(MSASC&gt;=0.36*RSAM)),('Look Ups'!$AI$3*(ZVAL*MSASC-RSAG)),(0))</f>
        <v>7.7190210999999991</v>
      </c>
      <c r="DP308" s="256">
        <f>IF(MSASP&gt;0,'Look Ups'!$AI$5*(ZVAL*MSASP-RSAG),0)</f>
        <v>27.460807546666672</v>
      </c>
      <c r="DQ308" s="256">
        <f>IF(MSASC&gt;0,'Look Ups'!$AI$6*(MSASC-RSAG),0)</f>
        <v>1.5438042200000002</v>
      </c>
      <c r="DR308" s="280">
        <f>'Look Ups'!$AI$7*MAX(IF(MSAUSC&gt;0,EUSC/100*(MSAUSC-RSAG),0),IF(CR308="Yes",ELSC/100*(MSASC-RSAG),0))</f>
        <v>1.8982710066852451</v>
      </c>
      <c r="DS308" s="280">
        <f t="shared" si="148"/>
        <v>15.734878451999998</v>
      </c>
      <c r="DT308" s="296">
        <f t="shared" si="149"/>
        <v>97.09373247335192</v>
      </c>
      <c r="DU308" s="14"/>
    </row>
    <row r="309" spans="1:125" ht="15.6" customHeight="1" x14ac:dyDescent="0.3">
      <c r="A309" s="4"/>
      <c r="B309" s="365"/>
      <c r="C309" s="369" t="s">
        <v>1023</v>
      </c>
      <c r="D309" s="370" t="s">
        <v>916</v>
      </c>
      <c r="E309" s="371" t="s">
        <v>1024</v>
      </c>
      <c r="F309" s="252">
        <f t="shared" ca="1" si="120"/>
        <v>0.86199999999999999</v>
      </c>
      <c r="G309" s="252" t="str">
        <f ca="1">IF(OR(FLSCR="ERROR",FLSPI="ERROR"),"No",IF(TODAY()-'Look Ups'!$D$4*365&gt;I309,"WP Applied","Yes"))</f>
        <v>Yes</v>
      </c>
      <c r="H309" s="253" t="str">
        <f t="shared" si="121"/>
        <v>Main-Genoa-Screacher (Upwind)-Spinnaker</v>
      </c>
      <c r="I309" s="1">
        <v>42344</v>
      </c>
      <c r="J309" s="1">
        <v>42672</v>
      </c>
      <c r="K309" s="87" t="s">
        <v>1025</v>
      </c>
      <c r="L309" s="87" t="s">
        <v>142</v>
      </c>
      <c r="M309" s="207"/>
      <c r="N309" s="88" t="s">
        <v>143</v>
      </c>
      <c r="O309" s="88" t="s">
        <v>154</v>
      </c>
      <c r="P309" s="89"/>
      <c r="Q309" s="90">
        <v>8.7200000000000006</v>
      </c>
      <c r="R309" s="87"/>
      <c r="S309" s="256">
        <f t="shared" si="122"/>
        <v>0.21800000000000003</v>
      </c>
      <c r="T309" s="117">
        <v>0.15</v>
      </c>
      <c r="U309" s="117">
        <v>0</v>
      </c>
      <c r="V309" s="258">
        <f t="shared" si="123"/>
        <v>8.57</v>
      </c>
      <c r="W309" s="259">
        <f>IF(RL&gt;0,IF(RL&gt;'Look Ups'!Y$7,'Look Ups'!Y$8,('Look Ups'!Y$3*RL^3+'Look Ups'!Y$4*RL^2+'Look Ups'!Y$5*RL+'Look Ups'!Y$6)),0)</f>
        <v>0.29556309216900001</v>
      </c>
      <c r="X309" s="92">
        <v>1555</v>
      </c>
      <c r="Y309" s="263">
        <f ca="1">IF(WDATE&lt;(TODAY()-'Look Ups'!$D$4*365),-WM*'Look Ups'!$D$5/100,0)</f>
        <v>0</v>
      </c>
      <c r="Z309" s="103"/>
      <c r="AA309" s="109"/>
      <c r="AB309" s="109"/>
      <c r="AC309" s="265">
        <f>WCD+NC*'Look Ups'!$AF$3</f>
        <v>0</v>
      </c>
      <c r="AD309" s="265">
        <f ca="1">IF(RL&lt;'Look Ups'!AM$3,'Look Ups'!AM$4,IF(RL&gt;'Look Ups'!AM$5,'Look Ups'!AM$6,(RL-'Look Ups'!AM$3)/('Look Ups'!AM$5-'Look Ups'!AM$3)*('Look Ups'!AM$6-'Look Ups'!AM$4)+'Look Ups'!AM$4))/100*WS</f>
        <v>360.76</v>
      </c>
      <c r="AE309" s="269">
        <f t="shared" ca="1" si="124"/>
        <v>1555</v>
      </c>
      <c r="AF309" s="267">
        <f t="shared" ca="1" si="125"/>
        <v>1555</v>
      </c>
      <c r="AG309" s="94" t="s">
        <v>145</v>
      </c>
      <c r="AH309" s="95" t="s">
        <v>146</v>
      </c>
      <c r="AI309" s="96" t="s">
        <v>147</v>
      </c>
      <c r="AJ309" s="218"/>
      <c r="AK309" s="273">
        <f>IF(C309="",0,VLOOKUP(AG309,'Look Ups'!$F$3:$G$6,2,0)*VLOOKUP(AH309,'Look Ups'!$I$3:$J$5,2,0)*VLOOKUP(AI309,'Look Ups'!$L$3:$M$7,2,0)*IF(AJ309="",1,VLOOKUP(AJ309,'Look Ups'!$O$3:$P$4,2,0)))</f>
        <v>1</v>
      </c>
      <c r="AL309" s="83">
        <v>11.16</v>
      </c>
      <c r="AM309" s="91">
        <v>10.97</v>
      </c>
      <c r="AN309" s="91">
        <v>3.54</v>
      </c>
      <c r="AO309" s="91">
        <v>0.78</v>
      </c>
      <c r="AP309" s="91">
        <v>0.69</v>
      </c>
      <c r="AQ309" s="91">
        <v>10.72</v>
      </c>
      <c r="AR309" s="91">
        <v>0.09</v>
      </c>
      <c r="AS309" s="91">
        <v>3.69</v>
      </c>
      <c r="AT309" s="91">
        <v>0</v>
      </c>
      <c r="AU309" s="91">
        <v>0.49</v>
      </c>
      <c r="AV309" s="91" t="s">
        <v>148</v>
      </c>
      <c r="AW309" s="97">
        <v>14</v>
      </c>
      <c r="AX309" s="256">
        <f t="shared" si="126"/>
        <v>10.72</v>
      </c>
      <c r="AY309" s="256">
        <f t="shared" si="127"/>
        <v>1.9698000000000002</v>
      </c>
      <c r="AZ309" s="275">
        <f>IF(C309="",0,(0.5*(_ML1*LPM)+0.5*(_ML1*HB)+0.66*(P*PR)+0.66*(_ML2*RDM)+0.66*(E*ER))*VLOOKUP(BATT,'Look Ups'!$U$3:$V$4,2,0))</f>
        <v>29.738105999999998</v>
      </c>
      <c r="BA309" s="98"/>
      <c r="BB309" s="99"/>
      <c r="BC309" s="83">
        <v>9.26</v>
      </c>
      <c r="BD309" s="91">
        <v>3.46</v>
      </c>
      <c r="BE309" s="91">
        <v>3.76</v>
      </c>
      <c r="BF309" s="91">
        <v>0.18</v>
      </c>
      <c r="BG309" s="91">
        <v>8.4</v>
      </c>
      <c r="BH309" s="91"/>
      <c r="BI309" s="91">
        <v>0</v>
      </c>
      <c r="BJ309" s="91">
        <v>-0.01</v>
      </c>
      <c r="BK309" s="91">
        <v>-5.0000000000000001E-3</v>
      </c>
      <c r="BL309" s="97">
        <v>1</v>
      </c>
      <c r="BM309" s="275">
        <f t="shared" si="128"/>
        <v>16.380489999999998</v>
      </c>
      <c r="BN309" s="319"/>
      <c r="BO309" s="320"/>
      <c r="BP309" s="321"/>
      <c r="BQ309" s="321"/>
      <c r="BR309" s="320"/>
      <c r="BS309" s="321"/>
      <c r="BT309" s="321"/>
      <c r="BU309" s="280">
        <f t="shared" si="129"/>
        <v>0</v>
      </c>
      <c r="BV309" s="322"/>
      <c r="BW309" s="320"/>
      <c r="BX309" s="320"/>
      <c r="BY309" s="320"/>
      <c r="BZ309" s="320"/>
      <c r="CA309" s="320"/>
      <c r="CB309" s="320"/>
      <c r="CC309" s="275">
        <f t="shared" si="130"/>
        <v>0</v>
      </c>
      <c r="CD309" s="98">
        <v>8.48</v>
      </c>
      <c r="CE309" s="91">
        <v>12.14</v>
      </c>
      <c r="CF309" s="91">
        <v>11.24</v>
      </c>
      <c r="CG309" s="91">
        <v>7.02</v>
      </c>
      <c r="CH309" s="266">
        <f t="shared" si="131"/>
        <v>82.783018867924511</v>
      </c>
      <c r="CI309" s="320"/>
      <c r="CJ309" s="280">
        <f t="shared" si="132"/>
        <v>71.231066666666678</v>
      </c>
      <c r="CK309" s="83">
        <v>7.05</v>
      </c>
      <c r="CL309" s="91">
        <v>10.25</v>
      </c>
      <c r="CM309" s="91">
        <v>8.8699999999999992</v>
      </c>
      <c r="CN309" s="91">
        <v>3.53</v>
      </c>
      <c r="CO309" s="256">
        <f t="shared" si="133"/>
        <v>50.070921985815595</v>
      </c>
      <c r="CP309" s="320"/>
      <c r="CQ309" s="256">
        <f t="shared" si="134"/>
        <v>33.730866666666664</v>
      </c>
      <c r="CR309" s="256" t="str">
        <f>IF(CO309&lt;'Look Ups'!$AC$4,"Yes","No")</f>
        <v>Yes</v>
      </c>
      <c r="CS309" s="293">
        <f>IF(CR309="Yes",MIN(150,('Look Ups'!$AC$4-PSCR)/('Look Ups'!$AC$4-'Look Ups'!$AC$3)*100),0)</f>
        <v>38.581560283688106</v>
      </c>
      <c r="CT309" s="83"/>
      <c r="CU309" s="91"/>
      <c r="CV309" s="91"/>
      <c r="CW309" s="91"/>
      <c r="CX309" s="256" t="str">
        <f t="shared" si="135"/>
        <v/>
      </c>
      <c r="CY309" s="293">
        <f>IF(PUSCR&lt;'Look Ups'!$AC$4,MIN(150,('Look Ups'!$AC$4-PUSCR)/('Look Ups'!$AC$4-'Look Ups'!$AC$3)*100),0)</f>
        <v>0</v>
      </c>
      <c r="CZ309" s="275">
        <f>IF(PUSCR&lt;'Look Ups'!$AC$4,USCRF*(USCRL1+USCRL2)/4+(USCRMG-USCRF/2)*(USCRL1+USCRL2)/3,0)</f>
        <v>0</v>
      </c>
      <c r="DA309" s="294">
        <f t="shared" si="136"/>
        <v>1</v>
      </c>
      <c r="DB309" s="256">
        <f t="shared" si="137"/>
        <v>31.707905999999998</v>
      </c>
      <c r="DC309" s="256">
        <f t="shared" si="138"/>
        <v>1</v>
      </c>
      <c r="DD309" s="256">
        <f t="shared" si="139"/>
        <v>16.380489999999998</v>
      </c>
      <c r="DE309" s="256">
        <f>IF(AZ309&gt;0,'Look Ups'!$S$3,0)</f>
        <v>1</v>
      </c>
      <c r="DF309" s="256">
        <f t="shared" si="140"/>
        <v>0</v>
      </c>
      <c r="DG309" s="256">
        <f t="shared" si="141"/>
        <v>0</v>
      </c>
      <c r="DH309" s="256">
        <f t="shared" si="142"/>
        <v>0</v>
      </c>
      <c r="DI309" s="280">
        <f t="shared" si="143"/>
        <v>0</v>
      </c>
      <c r="DJ309" s="295" t="str">
        <f t="shared" si="144"/>
        <v>valid</v>
      </c>
      <c r="DK309" s="266" t="str">
        <f t="shared" si="145"/>
        <v>valid</v>
      </c>
      <c r="DL309" s="267" t="str">
        <f t="shared" si="146"/>
        <v>MGScrSP</v>
      </c>
      <c r="DM309" s="294">
        <f t="shared" si="147"/>
        <v>48.088395999999996</v>
      </c>
      <c r="DN309" s="256">
        <f>IF(MSASP&gt;0,'Look Ups'!$AI$4*(ZVAL*MSASP-RSAG),0)</f>
        <v>16.455173000000006</v>
      </c>
      <c r="DO309" s="256">
        <f>IF(AND(MSASC&gt;0,(MSASC&gt;=0.36*RSAM)),('Look Ups'!$AI$3*(ZVAL*MSASC-RSAG)),(0))</f>
        <v>6.0726318333333325</v>
      </c>
      <c r="DP309" s="256">
        <f>IF(MSASP&gt;0,'Look Ups'!$AI$5*(ZVAL*MSASP-RSAG),0)</f>
        <v>15.358161466666672</v>
      </c>
      <c r="DQ309" s="256">
        <f>IF(MSASC&gt;0,'Look Ups'!$AI$6*(MSASC-RSAG),0)</f>
        <v>1.2145263666666668</v>
      </c>
      <c r="DR309" s="280">
        <f>'Look Ups'!$AI$7*MAX(IF(MSAUSC&gt;0,EUSC/100*(MSAUSC-RSAG),0),IF(CR309="Yes",ELSC/100*(MSASC-RSAG),0))</f>
        <v>1.6735115082742387</v>
      </c>
      <c r="DS309" s="280">
        <f t="shared" si="148"/>
        <v>11.414846159999998</v>
      </c>
      <c r="DT309" s="296">
        <f t="shared" si="149"/>
        <v>66.334595341607582</v>
      </c>
      <c r="DU309" s="14"/>
    </row>
    <row r="310" spans="1:125" ht="15.6" customHeight="1" x14ac:dyDescent="0.3">
      <c r="A310" s="4"/>
      <c r="B310" s="365"/>
      <c r="C310" s="369" t="s">
        <v>1026</v>
      </c>
      <c r="D310" s="370" t="s">
        <v>1027</v>
      </c>
      <c r="E310" s="371" t="s">
        <v>691</v>
      </c>
      <c r="F310" s="252">
        <f t="shared" ca="1" si="120"/>
        <v>0.93300000000000005</v>
      </c>
      <c r="G310" s="252" t="str">
        <f ca="1">IF(OR(FLSCR="ERROR",FLSPI="ERROR"),"No",IF(TODAY()-'Look Ups'!$D$4*365&gt;I310,"WP Applied","Yes"))</f>
        <v>WP Applied</v>
      </c>
      <c r="H310" s="253" t="str">
        <f t="shared" si="121"/>
        <v>Main-Genoa-Screacher (Upwind)-Spinnaker</v>
      </c>
      <c r="I310" s="1">
        <v>40033</v>
      </c>
      <c r="J310" s="1">
        <v>40057</v>
      </c>
      <c r="K310" s="87" t="s">
        <v>366</v>
      </c>
      <c r="L310" s="87" t="s">
        <v>241</v>
      </c>
      <c r="M310" s="207"/>
      <c r="N310" s="88" t="s">
        <v>1019</v>
      </c>
      <c r="O310" s="88"/>
      <c r="P310" s="89"/>
      <c r="Q310" s="90">
        <v>9.9550000000000001</v>
      </c>
      <c r="R310" s="87"/>
      <c r="S310" s="256">
        <f t="shared" si="122"/>
        <v>0.24887500000000001</v>
      </c>
      <c r="T310" s="117">
        <v>0.08</v>
      </c>
      <c r="U310" s="117">
        <v>0</v>
      </c>
      <c r="V310" s="258">
        <f t="shared" si="123"/>
        <v>9.875</v>
      </c>
      <c r="W310" s="259">
        <f>IF(RL&gt;0,IF(RL&gt;'Look Ups'!Y$7,'Look Ups'!Y$8,('Look Ups'!Y$3*RL^3+'Look Ups'!Y$4*RL^2+'Look Ups'!Y$5*RL+'Look Ups'!Y$6)),0)</f>
        <v>0.29831852929687502</v>
      </c>
      <c r="X310" s="92">
        <v>2296</v>
      </c>
      <c r="Y310" s="263">
        <f ca="1">IF(WDATE&lt;(TODAY()-'Look Ups'!$D$4*365),-WM*'Look Ups'!$D$5/100,0)</f>
        <v>-344.4</v>
      </c>
      <c r="Z310" s="103"/>
      <c r="AA310" s="109"/>
      <c r="AB310" s="109"/>
      <c r="AC310" s="265">
        <f>WCD+NC*'Look Ups'!$AF$3</f>
        <v>0</v>
      </c>
      <c r="AD310" s="265">
        <f ca="1">IF(RL&lt;'Look Ups'!AM$3,'Look Ups'!AM$4,IF(RL&gt;'Look Ups'!AM$5,'Look Ups'!AM$6,(RL-'Look Ups'!AM$3)/('Look Ups'!AM$5-'Look Ups'!AM$3)*('Look Ups'!AM$6-'Look Ups'!AM$4)+'Look Ups'!AM$4))/100*WS</f>
        <v>360.15890909090905</v>
      </c>
      <c r="AE310" s="269">
        <f t="shared" ca="1" si="124"/>
        <v>1951.6</v>
      </c>
      <c r="AF310" s="267">
        <f t="shared" ca="1" si="125"/>
        <v>1951.6</v>
      </c>
      <c r="AG310" s="94" t="s">
        <v>145</v>
      </c>
      <c r="AH310" s="95" t="s">
        <v>146</v>
      </c>
      <c r="AI310" s="96" t="s">
        <v>147</v>
      </c>
      <c r="AJ310" s="218"/>
      <c r="AK310" s="273">
        <f>IF(C310="",0,VLOOKUP(AG310,'Look Ups'!$F$3:$G$6,2,0)*VLOOKUP(AH310,'Look Ups'!$I$3:$J$5,2,0)*VLOOKUP(AI310,'Look Ups'!$L$3:$M$7,2,0)*IF(AJ310="",1,VLOOKUP(AJ310,'Look Ups'!$O$3:$P$4,2,0)))</f>
        <v>1</v>
      </c>
      <c r="AL310" s="83">
        <v>12.62</v>
      </c>
      <c r="AM310" s="91">
        <v>12.22</v>
      </c>
      <c r="AN310" s="91">
        <v>3.98</v>
      </c>
      <c r="AO310" s="91">
        <v>1.1200000000000001</v>
      </c>
      <c r="AP310" s="91">
        <v>0.60000000000000009</v>
      </c>
      <c r="AQ310" s="91">
        <v>12.16</v>
      </c>
      <c r="AR310" s="91">
        <v>0.2</v>
      </c>
      <c r="AS310" s="91">
        <v>4.16</v>
      </c>
      <c r="AT310" s="91">
        <v>0.05</v>
      </c>
      <c r="AU310" s="91">
        <v>0.60000000000000009</v>
      </c>
      <c r="AV310" s="91" t="s">
        <v>148</v>
      </c>
      <c r="AW310" s="97"/>
      <c r="AX310" s="256">
        <f t="shared" si="126"/>
        <v>12.21</v>
      </c>
      <c r="AY310" s="256">
        <f t="shared" si="127"/>
        <v>2.7360000000000007</v>
      </c>
      <c r="AZ310" s="275">
        <f>IF(C310="",0,(0.5*(_ML1*LPM)+0.5*(_ML1*HB)+0.66*(P*PR)+0.66*(_ML2*RDM)+0.66*(E*ER))*VLOOKUP(BATT,'Look Ups'!$U$3:$V$4,2,0))</f>
        <v>38.762519999999995</v>
      </c>
      <c r="BA310" s="98"/>
      <c r="BB310" s="99"/>
      <c r="BC310" s="83">
        <v>11.3</v>
      </c>
      <c r="BD310" s="91">
        <v>3.74</v>
      </c>
      <c r="BE310" s="91">
        <v>4.1900000000000004</v>
      </c>
      <c r="BF310" s="91">
        <v>0.14000000000000001</v>
      </c>
      <c r="BG310" s="91">
        <v>10.15</v>
      </c>
      <c r="BH310" s="91"/>
      <c r="BI310" s="91"/>
      <c r="BJ310" s="91">
        <v>-0.17</v>
      </c>
      <c r="BK310" s="91">
        <v>0.09</v>
      </c>
      <c r="BL310" s="97"/>
      <c r="BM310" s="275">
        <f t="shared" si="128"/>
        <v>21.050546000000008</v>
      </c>
      <c r="BN310" s="319"/>
      <c r="BO310" s="320"/>
      <c r="BP310" s="321"/>
      <c r="BQ310" s="321"/>
      <c r="BR310" s="320"/>
      <c r="BS310" s="321"/>
      <c r="BT310" s="321"/>
      <c r="BU310" s="280">
        <f t="shared" si="129"/>
        <v>0</v>
      </c>
      <c r="BV310" s="322"/>
      <c r="BW310" s="320"/>
      <c r="BX310" s="320"/>
      <c r="BY310" s="320"/>
      <c r="BZ310" s="320"/>
      <c r="CA310" s="320"/>
      <c r="CB310" s="320"/>
      <c r="CC310" s="275">
        <f t="shared" si="130"/>
        <v>0</v>
      </c>
      <c r="CD310" s="98">
        <v>8.9</v>
      </c>
      <c r="CE310" s="91">
        <v>14.56</v>
      </c>
      <c r="CF310" s="91">
        <v>13.18</v>
      </c>
      <c r="CG310" s="91">
        <v>7.7</v>
      </c>
      <c r="CH310" s="266">
        <f t="shared" si="131"/>
        <v>86.516853932584269</v>
      </c>
      <c r="CI310" s="320"/>
      <c r="CJ310" s="280">
        <f t="shared" si="132"/>
        <v>91.773166666666668</v>
      </c>
      <c r="CK310" s="83">
        <v>7.56</v>
      </c>
      <c r="CL310" s="91">
        <v>12.55</v>
      </c>
      <c r="CM310" s="91">
        <v>11.05</v>
      </c>
      <c r="CN310" s="91">
        <v>3.8</v>
      </c>
      <c r="CO310" s="256">
        <f t="shared" si="133"/>
        <v>50.264550264550266</v>
      </c>
      <c r="CP310" s="320"/>
      <c r="CQ310" s="256">
        <f t="shared" si="134"/>
        <v>44.761333333333333</v>
      </c>
      <c r="CR310" s="256" t="str">
        <f>IF(CO310&lt;'Look Ups'!$AC$4,"Yes","No")</f>
        <v>Yes</v>
      </c>
      <c r="CS310" s="293">
        <f>IF(CR310="Yes",MIN(150,('Look Ups'!$AC$4-PSCR)/('Look Ups'!$AC$4-'Look Ups'!$AC$3)*100),0)</f>
        <v>34.70899470899468</v>
      </c>
      <c r="CT310" s="83"/>
      <c r="CU310" s="91"/>
      <c r="CV310" s="91"/>
      <c r="CW310" s="91"/>
      <c r="CX310" s="256" t="str">
        <f t="shared" si="135"/>
        <v/>
      </c>
      <c r="CY310" s="293">
        <f>IF(PUSCR&lt;'Look Ups'!$AC$4,MIN(150,('Look Ups'!$AC$4-PUSCR)/('Look Ups'!$AC$4-'Look Ups'!$AC$3)*100),0)</f>
        <v>0</v>
      </c>
      <c r="CZ310" s="275">
        <f>IF(PUSCR&lt;'Look Ups'!$AC$4,USCRF*(USCRL1+USCRL2)/4+(USCRMG-USCRF/2)*(USCRL1+USCRL2)/3,0)</f>
        <v>0</v>
      </c>
      <c r="DA310" s="294">
        <f t="shared" si="136"/>
        <v>1</v>
      </c>
      <c r="DB310" s="256">
        <f t="shared" si="137"/>
        <v>41.498519999999999</v>
      </c>
      <c r="DC310" s="256">
        <f t="shared" si="138"/>
        <v>1</v>
      </c>
      <c r="DD310" s="256">
        <f t="shared" si="139"/>
        <v>21.050546000000008</v>
      </c>
      <c r="DE310" s="256">
        <f>IF(AZ310&gt;0,'Look Ups'!$S$3,0)</f>
        <v>1</v>
      </c>
      <c r="DF310" s="256">
        <f t="shared" si="140"/>
        <v>0</v>
      </c>
      <c r="DG310" s="256">
        <f t="shared" si="141"/>
        <v>0</v>
      </c>
      <c r="DH310" s="256">
        <f t="shared" si="142"/>
        <v>0</v>
      </c>
      <c r="DI310" s="280">
        <f t="shared" si="143"/>
        <v>0</v>
      </c>
      <c r="DJ310" s="295" t="str">
        <f t="shared" si="144"/>
        <v>valid</v>
      </c>
      <c r="DK310" s="266" t="str">
        <f t="shared" si="145"/>
        <v>valid</v>
      </c>
      <c r="DL310" s="267" t="str">
        <f t="shared" si="146"/>
        <v>MGScrSP</v>
      </c>
      <c r="DM310" s="294">
        <f t="shared" si="147"/>
        <v>62.54906600000001</v>
      </c>
      <c r="DN310" s="256">
        <f>IF(MSASP&gt;0,'Look Ups'!$AI$4*(ZVAL*MSASP-RSAG),0)</f>
        <v>21.216786199999998</v>
      </c>
      <c r="DO310" s="256">
        <f>IF(AND(MSASC&gt;0,(MSASC&gt;=0.36*RSAM)),('Look Ups'!$AI$3*(ZVAL*MSASC-RSAG)),(0))</f>
        <v>8.2987755666666629</v>
      </c>
      <c r="DP310" s="256">
        <f>IF(MSASP&gt;0,'Look Ups'!$AI$5*(ZVAL*MSASP-RSAG),0)</f>
        <v>19.802333786666665</v>
      </c>
      <c r="DQ310" s="256">
        <f>IF(MSASC&gt;0,'Look Ups'!$AI$6*(MSASC-RSAG),0)</f>
        <v>1.659755113333333</v>
      </c>
      <c r="DR310" s="280">
        <f>'Look Ups'!$AI$7*MAX(IF(MSAUSC&gt;0,EUSC/100*(MSAUSC-RSAG),0),IF(CR310="Yes",ELSC/100*(MSASC-RSAG),0))</f>
        <v>2.0574439802469109</v>
      </c>
      <c r="DS310" s="280">
        <f t="shared" si="148"/>
        <v>14.939467199999999</v>
      </c>
      <c r="DT310" s="296">
        <f t="shared" si="149"/>
        <v>86.068598880246924</v>
      </c>
      <c r="DU310" s="14"/>
    </row>
    <row r="311" spans="1:125" ht="15.6" customHeight="1" x14ac:dyDescent="0.3">
      <c r="A311" s="4"/>
      <c r="B311" s="365"/>
      <c r="C311" s="369" t="s">
        <v>1028</v>
      </c>
      <c r="D311" s="370" t="s">
        <v>1029</v>
      </c>
      <c r="E311" s="371" t="s">
        <v>1030</v>
      </c>
      <c r="F311" s="252">
        <f t="shared" ca="1" si="120"/>
        <v>0.91</v>
      </c>
      <c r="G311" s="252" t="str">
        <f ca="1">IF(OR(FLSCR="ERROR",FLSPI="ERROR"),"No",IF(TODAY()-'Look Ups'!$D$4*365&gt;I311,"WP Applied","Yes"))</f>
        <v>WP Applied</v>
      </c>
      <c r="H311" s="253" t="str">
        <f t="shared" si="121"/>
        <v>Main-Genoa-Spinnaker</v>
      </c>
      <c r="I311" s="1">
        <v>38399</v>
      </c>
      <c r="J311" s="1"/>
      <c r="K311" s="87" t="s">
        <v>445</v>
      </c>
      <c r="L311" s="87" t="s">
        <v>641</v>
      </c>
      <c r="M311" s="207"/>
      <c r="N311" s="88" t="s">
        <v>271</v>
      </c>
      <c r="O311" s="88"/>
      <c r="P311" s="89">
        <v>6.84</v>
      </c>
      <c r="Q311" s="90">
        <v>9.42</v>
      </c>
      <c r="R311" s="87"/>
      <c r="S311" s="256">
        <f t="shared" si="122"/>
        <v>0.23550000000000001</v>
      </c>
      <c r="T311" s="117">
        <v>0.04</v>
      </c>
      <c r="U311" s="117">
        <v>0</v>
      </c>
      <c r="V311" s="258">
        <f t="shared" si="123"/>
        <v>9.3800000000000008</v>
      </c>
      <c r="W311" s="259">
        <f>IF(RL&gt;0,IF(RL&gt;'Look Ups'!Y$7,'Look Ups'!Y$8,('Look Ups'!Y$3*RL^3+'Look Ups'!Y$4*RL^2+'Look Ups'!Y$5*RL+'Look Ups'!Y$6)),0)</f>
        <v>0.29746653117600003</v>
      </c>
      <c r="X311" s="92">
        <v>2072</v>
      </c>
      <c r="Y311" s="263">
        <f ca="1">IF(WDATE&lt;(TODAY()-'Look Ups'!$D$4*365),-WM*'Look Ups'!$D$5/100,0)</f>
        <v>-310.8</v>
      </c>
      <c r="Z311" s="103"/>
      <c r="AA311" s="109"/>
      <c r="AB311" s="109"/>
      <c r="AC311" s="265">
        <f>WCD+NC*'Look Ups'!$AF$3</f>
        <v>0</v>
      </c>
      <c r="AD311" s="265">
        <f ca="1">IF(RL&lt;'Look Ups'!AM$3,'Look Ups'!AM$4,IF(RL&gt;'Look Ups'!AM$5,'Look Ups'!AM$6,(RL-'Look Ups'!AM$3)/('Look Ups'!AM$5-'Look Ups'!AM$3)*('Look Ups'!AM$6-'Look Ups'!AM$4)+'Look Ups'!AM$4))/100*WS</f>
        <v>356.72305454545449</v>
      </c>
      <c r="AE311" s="269">
        <f t="shared" ca="1" si="124"/>
        <v>1761.2</v>
      </c>
      <c r="AF311" s="267">
        <f t="shared" ca="1" si="125"/>
        <v>1761.2</v>
      </c>
      <c r="AG311" s="94" t="s">
        <v>145</v>
      </c>
      <c r="AH311" s="95" t="s">
        <v>146</v>
      </c>
      <c r="AI311" s="96" t="s">
        <v>147</v>
      </c>
      <c r="AJ311" s="218"/>
      <c r="AK311" s="273">
        <f>IF(C311="",0,VLOOKUP(AG311,'Look Ups'!$F$3:$G$6,2,0)*VLOOKUP(AH311,'Look Ups'!$I$3:$J$5,2,0)*VLOOKUP(AI311,'Look Ups'!$L$3:$M$7,2,0)*IF(AJ311="",1,VLOOKUP(AJ311,'Look Ups'!$O$3:$P$4,2,0)))</f>
        <v>1</v>
      </c>
      <c r="AL311" s="83">
        <v>11.55</v>
      </c>
      <c r="AM311" s="91">
        <v>11.21</v>
      </c>
      <c r="AN311" s="91">
        <v>3.91</v>
      </c>
      <c r="AO311" s="91">
        <v>1.29</v>
      </c>
      <c r="AP311" s="91">
        <v>0.59</v>
      </c>
      <c r="AQ311" s="91">
        <v>11.05</v>
      </c>
      <c r="AR311" s="91">
        <v>0.15</v>
      </c>
      <c r="AS311" s="91">
        <v>4.1100000000000003</v>
      </c>
      <c r="AT311" s="91">
        <v>0.08</v>
      </c>
      <c r="AU311" s="91"/>
      <c r="AV311" s="91" t="s">
        <v>148</v>
      </c>
      <c r="AW311" s="97">
        <v>0</v>
      </c>
      <c r="AX311" s="256">
        <f t="shared" si="126"/>
        <v>11.13</v>
      </c>
      <c r="AY311" s="256">
        <f t="shared" si="127"/>
        <v>0</v>
      </c>
      <c r="AZ311" s="275">
        <f>IF(C311="",0,(0.5*(_ML1*LPM)+0.5*(_ML1*HB)+0.66*(P*PR)+0.66*(_ML2*RDM)+0.66*(E*ER))*VLOOKUP(BATT,'Look Ups'!$U$3:$V$4,2,0))</f>
        <v>35.706132000000004</v>
      </c>
      <c r="BA311" s="98"/>
      <c r="BB311" s="99"/>
      <c r="BC311" s="83">
        <v>10.79</v>
      </c>
      <c r="BD311" s="91">
        <v>4.7300000000000004</v>
      </c>
      <c r="BE311" s="91">
        <v>5.19</v>
      </c>
      <c r="BF311" s="91">
        <v>0.17</v>
      </c>
      <c r="BG311" s="91">
        <v>9.77</v>
      </c>
      <c r="BH311" s="91"/>
      <c r="BI311" s="91"/>
      <c r="BJ311" s="91">
        <v>0.1</v>
      </c>
      <c r="BK311" s="91">
        <v>7.0000000000000007E-2</v>
      </c>
      <c r="BL311" s="97"/>
      <c r="BM311" s="275">
        <f t="shared" si="128"/>
        <v>27.243986000000003</v>
      </c>
      <c r="BN311" s="319"/>
      <c r="BO311" s="320"/>
      <c r="BP311" s="321"/>
      <c r="BQ311" s="321"/>
      <c r="BR311" s="320"/>
      <c r="BS311" s="321"/>
      <c r="BT311" s="321"/>
      <c r="BU311" s="280">
        <f t="shared" si="129"/>
        <v>0</v>
      </c>
      <c r="BV311" s="322"/>
      <c r="BW311" s="320"/>
      <c r="BX311" s="320"/>
      <c r="BY311" s="320"/>
      <c r="BZ311" s="320"/>
      <c r="CA311" s="320"/>
      <c r="CB311" s="320"/>
      <c r="CC311" s="275">
        <f t="shared" si="130"/>
        <v>0</v>
      </c>
      <c r="CD311" s="98">
        <v>8.7899999999999991</v>
      </c>
      <c r="CE311" s="91">
        <v>12.77</v>
      </c>
      <c r="CF311" s="91">
        <v>11.67</v>
      </c>
      <c r="CG311" s="91">
        <v>7.2</v>
      </c>
      <c r="CH311" s="266">
        <f t="shared" si="131"/>
        <v>81.911262798634823</v>
      </c>
      <c r="CI311" s="320"/>
      <c r="CJ311" s="280">
        <f t="shared" si="132"/>
        <v>76.558299999999988</v>
      </c>
      <c r="CK311" s="83"/>
      <c r="CL311" s="91"/>
      <c r="CM311" s="91"/>
      <c r="CN311" s="91"/>
      <c r="CO311" s="256" t="str">
        <f t="shared" si="133"/>
        <v/>
      </c>
      <c r="CP311" s="320"/>
      <c r="CQ311" s="256">
        <f t="shared" si="134"/>
        <v>0</v>
      </c>
      <c r="CR311" s="256" t="str">
        <f>IF(CO311&lt;'Look Ups'!$AC$4,"Yes","No")</f>
        <v>No</v>
      </c>
      <c r="CS311" s="293">
        <f>IF(CR311="Yes",MIN(150,('Look Ups'!$AC$4-PSCR)/('Look Ups'!$AC$4-'Look Ups'!$AC$3)*100),0)</f>
        <v>0</v>
      </c>
      <c r="CT311" s="83"/>
      <c r="CU311" s="91"/>
      <c r="CV311" s="91"/>
      <c r="CW311" s="91"/>
      <c r="CX311" s="256" t="str">
        <f t="shared" si="135"/>
        <v/>
      </c>
      <c r="CY311" s="293">
        <f>IF(PUSCR&lt;'Look Ups'!$AC$4,MIN(150,('Look Ups'!$AC$4-PUSCR)/('Look Ups'!$AC$4-'Look Ups'!$AC$3)*100),0)</f>
        <v>0</v>
      </c>
      <c r="CZ311" s="275">
        <f>IF(PUSCR&lt;'Look Ups'!$AC$4,USCRF*(USCRL1+USCRL2)/4+(USCRMG-USCRF/2)*(USCRL1+USCRL2)/3,0)</f>
        <v>0</v>
      </c>
      <c r="DA311" s="294">
        <f t="shared" si="136"/>
        <v>1</v>
      </c>
      <c r="DB311" s="256">
        <f t="shared" si="137"/>
        <v>35.706132000000004</v>
      </c>
      <c r="DC311" s="256">
        <f t="shared" si="138"/>
        <v>1</v>
      </c>
      <c r="DD311" s="256">
        <f t="shared" si="139"/>
        <v>27.243986000000003</v>
      </c>
      <c r="DE311" s="256">
        <f>IF(AZ311&gt;0,'Look Ups'!$S$3,0)</f>
        <v>1</v>
      </c>
      <c r="DF311" s="256">
        <f t="shared" si="140"/>
        <v>0</v>
      </c>
      <c r="DG311" s="256">
        <f t="shared" si="141"/>
        <v>0</v>
      </c>
      <c r="DH311" s="256">
        <f t="shared" si="142"/>
        <v>0</v>
      </c>
      <c r="DI311" s="280">
        <f t="shared" si="143"/>
        <v>0</v>
      </c>
      <c r="DJ311" s="295" t="str">
        <f t="shared" si="144"/>
        <v>-</v>
      </c>
      <c r="DK311" s="266" t="str">
        <f t="shared" si="145"/>
        <v>valid</v>
      </c>
      <c r="DL311" s="267" t="str">
        <f t="shared" si="146"/>
        <v>MGSP</v>
      </c>
      <c r="DM311" s="294">
        <f t="shared" si="147"/>
        <v>62.950118000000003</v>
      </c>
      <c r="DN311" s="256">
        <f>IF(MSASP&gt;0,'Look Ups'!$AI$4*(ZVAL*MSASP-RSAG),0)</f>
        <v>14.794294199999994</v>
      </c>
      <c r="DO311" s="256">
        <f>IF(AND(MSASC&gt;0,(MSASC&gt;=0.36*RSAM)),('Look Ups'!$AI$3*(ZVAL*MSASC-RSAG)),(0))</f>
        <v>0</v>
      </c>
      <c r="DP311" s="256">
        <f>IF(MSASP&gt;0,'Look Ups'!$AI$5*(ZVAL*MSASP-RSAG),0)</f>
        <v>13.808007919999996</v>
      </c>
      <c r="DQ311" s="256">
        <f>IF(MSASC&gt;0,'Look Ups'!$AI$6*(MSASC-RSAG),0)</f>
        <v>0</v>
      </c>
      <c r="DR311" s="280">
        <f>'Look Ups'!$AI$7*MAX(IF(MSAUSC&gt;0,EUSC/100*(MSAUSC-RSAG),0),IF(CR311="Yes",ELSC/100*(MSASC-RSAG),0))</f>
        <v>0</v>
      </c>
      <c r="DS311" s="280">
        <f t="shared" si="148"/>
        <v>12.854207520000001</v>
      </c>
      <c r="DT311" s="296">
        <f t="shared" si="149"/>
        <v>77.744412199999999</v>
      </c>
      <c r="DU311" s="14"/>
    </row>
    <row r="312" spans="1:125" ht="15.6" customHeight="1" x14ac:dyDescent="0.3">
      <c r="A312" s="4"/>
      <c r="B312" s="365"/>
      <c r="C312" s="369" t="s">
        <v>1031</v>
      </c>
      <c r="D312" s="370"/>
      <c r="E312" s="371" t="s">
        <v>1032</v>
      </c>
      <c r="F312" s="252">
        <f t="shared" ca="1" si="120"/>
        <v>0.88900000000000001</v>
      </c>
      <c r="G312" s="252" t="str">
        <f ca="1">IF(OR(FLSCR="ERROR",FLSPI="ERROR"),"No",IF(TODAY()-'Look Ups'!$D$4*365&gt;I312,"WP Applied","Yes"))</f>
        <v>WP Applied</v>
      </c>
      <c r="H312" s="253" t="str">
        <f t="shared" si="121"/>
        <v>Main-Genoa-Screacher-Spinnaker</v>
      </c>
      <c r="I312" s="1">
        <v>39692</v>
      </c>
      <c r="J312" s="1"/>
      <c r="K312" s="87" t="s">
        <v>1033</v>
      </c>
      <c r="L312" s="87" t="s">
        <v>182</v>
      </c>
      <c r="M312" s="207"/>
      <c r="N312" s="88" t="s">
        <v>318</v>
      </c>
      <c r="O312" s="88"/>
      <c r="P312" s="89"/>
      <c r="Q312" s="90">
        <v>8.73</v>
      </c>
      <c r="R312" s="87"/>
      <c r="S312" s="256">
        <f t="shared" si="122"/>
        <v>0.21825000000000003</v>
      </c>
      <c r="T312" s="117">
        <v>0.15</v>
      </c>
      <c r="U312" s="117">
        <v>0</v>
      </c>
      <c r="V312" s="258">
        <f t="shared" si="123"/>
        <v>8.58</v>
      </c>
      <c r="W312" s="259">
        <f>IF(RL&gt;0,IF(RL&gt;'Look Ups'!Y$7,'Look Ups'!Y$8,('Look Ups'!Y$3*RL^3+'Look Ups'!Y$4*RL^2+'Look Ups'!Y$5*RL+'Look Ups'!Y$6)),0)</f>
        <v>0.29559078749600004</v>
      </c>
      <c r="X312" s="92">
        <v>1694</v>
      </c>
      <c r="Y312" s="263">
        <f ca="1">IF(WDATE&lt;(TODAY()-'Look Ups'!$D$4*365),-WM*'Look Ups'!$D$5/100,0)</f>
        <v>-254.1</v>
      </c>
      <c r="Z312" s="103"/>
      <c r="AA312" s="109"/>
      <c r="AB312" s="109"/>
      <c r="AC312" s="265">
        <f>WCD+NC*'Look Ups'!$AF$3</f>
        <v>0</v>
      </c>
      <c r="AD312" s="265">
        <f ca="1">IF(RL&lt;'Look Ups'!AM$3,'Look Ups'!AM$4,IF(RL&gt;'Look Ups'!AM$5,'Look Ups'!AM$6,(RL-'Look Ups'!AM$3)/('Look Ups'!AM$5-'Look Ups'!AM$3)*('Look Ups'!AM$6-'Look Ups'!AM$4)+'Look Ups'!AM$4))/100*WS</f>
        <v>333.53320000000002</v>
      </c>
      <c r="AE312" s="269">
        <f t="shared" ca="1" si="124"/>
        <v>1439.9</v>
      </c>
      <c r="AF312" s="267">
        <f t="shared" ca="1" si="125"/>
        <v>1439.9</v>
      </c>
      <c r="AG312" s="94" t="s">
        <v>145</v>
      </c>
      <c r="AH312" s="95" t="s">
        <v>146</v>
      </c>
      <c r="AI312" s="96" t="s">
        <v>147</v>
      </c>
      <c r="AJ312" s="218"/>
      <c r="AK312" s="273">
        <f>IF(C312="",0,VLOOKUP(AG312,'Look Ups'!$F$3:$G$6,2,0)*VLOOKUP(AH312,'Look Ups'!$I$3:$J$5,2,0)*VLOOKUP(AI312,'Look Ups'!$L$3:$M$7,2,0)*IF(AJ312="",1,VLOOKUP(AJ312,'Look Ups'!$O$3:$P$4,2,0)))</f>
        <v>1</v>
      </c>
      <c r="AL312" s="83">
        <v>11.1</v>
      </c>
      <c r="AM312" s="91">
        <v>11.24</v>
      </c>
      <c r="AN312" s="91">
        <v>3.4</v>
      </c>
      <c r="AO312" s="91">
        <v>0.09</v>
      </c>
      <c r="AP312" s="91">
        <v>1.56</v>
      </c>
      <c r="AQ312" s="91">
        <v>10.63</v>
      </c>
      <c r="AR312" s="91">
        <v>0.15</v>
      </c>
      <c r="AS312" s="91">
        <v>3.6</v>
      </c>
      <c r="AT312" s="91">
        <v>0.06</v>
      </c>
      <c r="AU312" s="91">
        <v>0.5</v>
      </c>
      <c r="AV312" s="91" t="s">
        <v>148</v>
      </c>
      <c r="AW312" s="97">
        <v>212</v>
      </c>
      <c r="AX312" s="256">
        <f t="shared" si="126"/>
        <v>10.690000000000001</v>
      </c>
      <c r="AY312" s="256">
        <f t="shared" si="127"/>
        <v>1.993125</v>
      </c>
      <c r="AZ312" s="275">
        <f>IF(C312="",0,(0.5*(_ML1*LPM)+0.5*(_ML1*HB)+0.66*(P*PR)+0.66*(_ML2*RDM)+0.66*(E*ER))*VLOOKUP(BATT,'Look Ups'!$U$3:$V$4,2,0))</f>
        <v>32.137134000000003</v>
      </c>
      <c r="BA312" s="98"/>
      <c r="BB312" s="99"/>
      <c r="BC312" s="83">
        <v>9.02</v>
      </c>
      <c r="BD312" s="91">
        <v>3.2</v>
      </c>
      <c r="BE312" s="91">
        <v>3.65</v>
      </c>
      <c r="BF312" s="91">
        <v>0.09</v>
      </c>
      <c r="BG312" s="91">
        <v>8.02</v>
      </c>
      <c r="BH312" s="91"/>
      <c r="BI312" s="91"/>
      <c r="BJ312" s="91">
        <v>0.28000000000000003</v>
      </c>
      <c r="BK312" s="91">
        <v>0</v>
      </c>
      <c r="BL312" s="97" t="s">
        <v>446</v>
      </c>
      <c r="BM312" s="275">
        <f t="shared" si="128"/>
        <v>16.130906</v>
      </c>
      <c r="BN312" s="319"/>
      <c r="BO312" s="320"/>
      <c r="BP312" s="321"/>
      <c r="BQ312" s="321"/>
      <c r="BR312" s="320"/>
      <c r="BS312" s="321"/>
      <c r="BT312" s="321"/>
      <c r="BU312" s="280">
        <f t="shared" si="129"/>
        <v>0</v>
      </c>
      <c r="BV312" s="322"/>
      <c r="BW312" s="320"/>
      <c r="BX312" s="320"/>
      <c r="BY312" s="320"/>
      <c r="BZ312" s="320"/>
      <c r="CA312" s="320"/>
      <c r="CB312" s="320"/>
      <c r="CC312" s="275">
        <f t="shared" si="130"/>
        <v>0</v>
      </c>
      <c r="CD312" s="98">
        <v>8.42</v>
      </c>
      <c r="CE312" s="91">
        <v>12.94</v>
      </c>
      <c r="CF312" s="91">
        <v>11.75</v>
      </c>
      <c r="CG312" s="91">
        <v>6.63</v>
      </c>
      <c r="CH312" s="266">
        <f t="shared" si="131"/>
        <v>78.741092636579566</v>
      </c>
      <c r="CI312" s="320"/>
      <c r="CJ312" s="280">
        <f t="shared" si="132"/>
        <v>71.889049999999997</v>
      </c>
      <c r="CK312" s="83">
        <v>6.74</v>
      </c>
      <c r="CL312" s="91">
        <v>10.26</v>
      </c>
      <c r="CM312" s="91">
        <v>9.1</v>
      </c>
      <c r="CN312" s="91">
        <v>3.89</v>
      </c>
      <c r="CO312" s="256">
        <f t="shared" si="133"/>
        <v>57.715133531157271</v>
      </c>
      <c r="CP312" s="320"/>
      <c r="CQ312" s="256">
        <f t="shared" si="134"/>
        <v>35.977333333333334</v>
      </c>
      <c r="CR312" s="256" t="str">
        <f>IF(CO312&lt;'Look Ups'!$AC$4,"Yes","No")</f>
        <v>No</v>
      </c>
      <c r="CS312" s="293">
        <f>IF(CR312="Yes",MIN(150,('Look Ups'!$AC$4-PSCR)/('Look Ups'!$AC$4-'Look Ups'!$AC$3)*100),0)</f>
        <v>0</v>
      </c>
      <c r="CT312" s="83"/>
      <c r="CU312" s="91"/>
      <c r="CV312" s="91"/>
      <c r="CW312" s="91"/>
      <c r="CX312" s="256" t="str">
        <f t="shared" si="135"/>
        <v/>
      </c>
      <c r="CY312" s="293">
        <f>IF(PUSCR&lt;'Look Ups'!$AC$4,MIN(150,('Look Ups'!$AC$4-PUSCR)/('Look Ups'!$AC$4-'Look Ups'!$AC$3)*100),0)</f>
        <v>0</v>
      </c>
      <c r="CZ312" s="275">
        <f>IF(PUSCR&lt;'Look Ups'!$AC$4,USCRF*(USCRL1+USCRL2)/4+(USCRMG-USCRF/2)*(USCRL1+USCRL2)/3,0)</f>
        <v>0</v>
      </c>
      <c r="DA312" s="294">
        <f t="shared" si="136"/>
        <v>1</v>
      </c>
      <c r="DB312" s="256">
        <f t="shared" si="137"/>
        <v>34.130259000000002</v>
      </c>
      <c r="DC312" s="256">
        <f t="shared" si="138"/>
        <v>1</v>
      </c>
      <c r="DD312" s="256">
        <f t="shared" si="139"/>
        <v>16.130906</v>
      </c>
      <c r="DE312" s="256">
        <f>IF(AZ312&gt;0,'Look Ups'!$S$3,0)</f>
        <v>1</v>
      </c>
      <c r="DF312" s="256">
        <f t="shared" si="140"/>
        <v>0</v>
      </c>
      <c r="DG312" s="256">
        <f t="shared" si="141"/>
        <v>0</v>
      </c>
      <c r="DH312" s="256">
        <f t="shared" si="142"/>
        <v>0</v>
      </c>
      <c r="DI312" s="280">
        <f t="shared" si="143"/>
        <v>0</v>
      </c>
      <c r="DJ312" s="295" t="str">
        <f t="shared" si="144"/>
        <v>valid</v>
      </c>
      <c r="DK312" s="266" t="str">
        <f t="shared" si="145"/>
        <v>valid</v>
      </c>
      <c r="DL312" s="267" t="str">
        <f t="shared" si="146"/>
        <v>MGScrSP</v>
      </c>
      <c r="DM312" s="294">
        <f t="shared" si="147"/>
        <v>50.261165000000005</v>
      </c>
      <c r="DN312" s="256">
        <f>IF(MSASP&gt;0,'Look Ups'!$AI$4*(ZVAL*MSASP-RSAG),0)</f>
        <v>16.7274432</v>
      </c>
      <c r="DO312" s="256">
        <f>IF(AND(MSASC&gt;0,(MSASC&gt;=0.36*RSAM)),('Look Ups'!$AI$3*(ZVAL*MSASC-RSAG)),(0))</f>
        <v>6.9462495666666664</v>
      </c>
      <c r="DP312" s="256">
        <f>IF(MSASP&gt;0,'Look Ups'!$AI$5*(ZVAL*MSASP-RSAG),0)</f>
        <v>15.612280320000002</v>
      </c>
      <c r="DQ312" s="256">
        <f>IF(MSASC&gt;0,'Look Ups'!$AI$6*(MSASC-RSAG),0)</f>
        <v>1.3892499133333336</v>
      </c>
      <c r="DR312" s="280">
        <f>'Look Ups'!$AI$7*MAX(IF(MSAUSC&gt;0,EUSC/100*(MSAUSC-RSAG),0),IF(CR312="Yes",ELSC/100*(MSASC-RSAG),0))</f>
        <v>0</v>
      </c>
      <c r="DS312" s="280">
        <f t="shared" si="148"/>
        <v>12.286893240000001</v>
      </c>
      <c r="DT312" s="296">
        <f t="shared" si="149"/>
        <v>67.262695233333332</v>
      </c>
      <c r="DU312" s="14"/>
    </row>
    <row r="313" spans="1:125" ht="15.6" customHeight="1" x14ac:dyDescent="0.3">
      <c r="A313" s="4"/>
      <c r="B313" s="365"/>
      <c r="C313" s="369" t="s">
        <v>1034</v>
      </c>
      <c r="D313" s="370" t="s">
        <v>1035</v>
      </c>
      <c r="E313" s="371" t="s">
        <v>1036</v>
      </c>
      <c r="F313" s="252">
        <f t="shared" ca="1" si="120"/>
        <v>1.147</v>
      </c>
      <c r="G313" s="252" t="str">
        <f ca="1">IF(OR(FLSCR="ERROR",FLSPI="ERROR"),"No",IF(TODAY()-'Look Ups'!$D$4*365&gt;I313,"WP Applied","Yes"))</f>
        <v>WP Applied</v>
      </c>
      <c r="H313" s="253" t="str">
        <f t="shared" si="121"/>
        <v>Main-Genoa-Screacher</v>
      </c>
      <c r="I313" s="1">
        <v>39039</v>
      </c>
      <c r="J313" s="1">
        <v>39039</v>
      </c>
      <c r="K313" s="87" t="s">
        <v>240</v>
      </c>
      <c r="L313" s="87" t="s">
        <v>240</v>
      </c>
      <c r="M313" s="207"/>
      <c r="N313" s="88" t="s">
        <v>165</v>
      </c>
      <c r="O313" s="88" t="s">
        <v>144</v>
      </c>
      <c r="P313" s="89"/>
      <c r="Q313" s="90">
        <v>9.65</v>
      </c>
      <c r="R313" s="87"/>
      <c r="S313" s="256">
        <f t="shared" si="122"/>
        <v>0.24125000000000002</v>
      </c>
      <c r="T313" s="117">
        <v>0.02</v>
      </c>
      <c r="U313" s="117"/>
      <c r="V313" s="258">
        <f t="shared" si="123"/>
        <v>9.6300000000000008</v>
      </c>
      <c r="W313" s="259">
        <f>IF(RL&gt;0,IF(RL&gt;'Look Ups'!Y$7,'Look Ups'!Y$8,('Look Ups'!Y$3*RL^3+'Look Ups'!Y$4*RL^2+'Look Ups'!Y$5*RL+'Look Ups'!Y$6)),0)</f>
        <v>0.29792419945100002</v>
      </c>
      <c r="X313" s="92">
        <v>1250</v>
      </c>
      <c r="Y313" s="263">
        <f ca="1">IF(WDATE&lt;(TODAY()-'Look Ups'!$D$4*365),-WM*'Look Ups'!$D$5/100,0)</f>
        <v>-187.5</v>
      </c>
      <c r="Z313" s="103"/>
      <c r="AA313" s="109"/>
      <c r="AB313" s="109"/>
      <c r="AC313" s="265">
        <f>WCD+NC*'Look Ups'!$AF$3</f>
        <v>0</v>
      </c>
      <c r="AD313" s="265">
        <f ca="1">IF(RL&lt;'Look Ups'!AM$3,'Look Ups'!AM$4,IF(RL&gt;'Look Ups'!AM$5,'Look Ups'!AM$6,(RL-'Look Ups'!AM$3)/('Look Ups'!AM$5-'Look Ups'!AM$3)*('Look Ups'!AM$6-'Look Ups'!AM$4)+'Look Ups'!AM$4))/100*WS</f>
        <v>205.5454545454545</v>
      </c>
      <c r="AE313" s="269">
        <f t="shared" ca="1" si="124"/>
        <v>1062.5</v>
      </c>
      <c r="AF313" s="267">
        <f t="shared" ca="1" si="125"/>
        <v>1062.5</v>
      </c>
      <c r="AG313" s="94" t="s">
        <v>145</v>
      </c>
      <c r="AH313" s="95" t="s">
        <v>146</v>
      </c>
      <c r="AI313" s="96" t="s">
        <v>147</v>
      </c>
      <c r="AJ313" s="218"/>
      <c r="AK313" s="273">
        <f>IF(C313="",0,VLOOKUP(AG313,'Look Ups'!$F$3:$G$6,2,0)*VLOOKUP(AH313,'Look Ups'!$I$3:$J$5,2,0)*VLOOKUP(AI313,'Look Ups'!$L$3:$M$7,2,0)*IF(AJ313="",1,VLOOKUP(AJ313,'Look Ups'!$O$3:$P$4,2,0)))</f>
        <v>1</v>
      </c>
      <c r="AL313" s="83">
        <v>14.81</v>
      </c>
      <c r="AM313" s="91">
        <v>14.68</v>
      </c>
      <c r="AN313" s="91">
        <v>3.85</v>
      </c>
      <c r="AO313" s="91">
        <v>1.62</v>
      </c>
      <c r="AP313" s="91">
        <v>0.13</v>
      </c>
      <c r="AQ313" s="91">
        <v>15.05</v>
      </c>
      <c r="AR313" s="91">
        <v>0.15</v>
      </c>
      <c r="AS313" s="91">
        <v>3.8</v>
      </c>
      <c r="AT313" s="91">
        <v>0</v>
      </c>
      <c r="AU313" s="91">
        <v>0.62</v>
      </c>
      <c r="AV313" s="91" t="s">
        <v>148</v>
      </c>
      <c r="AW313" s="97">
        <v>0</v>
      </c>
      <c r="AX313" s="256">
        <f t="shared" si="126"/>
        <v>15.05</v>
      </c>
      <c r="AY313" s="256">
        <f t="shared" si="127"/>
        <v>3.4991250000000003</v>
      </c>
      <c r="AZ313" s="275">
        <f>IF(C313="",0,(0.5*(_ML1*LPM)+0.5*(_ML1*HB)+0.66*(P*PR)+0.66*(_ML2*RDM)+0.66*(E*ER))*VLOOKUP(BATT,'Look Ups'!$U$3:$V$4,2,0))</f>
        <v>43.254844000000006</v>
      </c>
      <c r="BA313" s="98"/>
      <c r="BB313" s="99"/>
      <c r="BC313" s="83">
        <v>11.17</v>
      </c>
      <c r="BD313" s="91">
        <v>3.03</v>
      </c>
      <c r="BE313" s="91">
        <v>3.17</v>
      </c>
      <c r="BF313" s="91">
        <v>0.12</v>
      </c>
      <c r="BG313" s="91">
        <v>10.75</v>
      </c>
      <c r="BH313" s="91"/>
      <c r="BI313" s="91"/>
      <c r="BJ313" s="91">
        <v>7.0000000000000007E-2</v>
      </c>
      <c r="BK313" s="91">
        <v>0.02</v>
      </c>
      <c r="BL313" s="97">
        <v>0</v>
      </c>
      <c r="BM313" s="275">
        <f t="shared" si="128"/>
        <v>17.817707999999996</v>
      </c>
      <c r="BN313" s="319"/>
      <c r="BO313" s="320"/>
      <c r="BP313" s="321"/>
      <c r="BQ313" s="321"/>
      <c r="BR313" s="320"/>
      <c r="BS313" s="321"/>
      <c r="BT313" s="321"/>
      <c r="BU313" s="280">
        <f t="shared" si="129"/>
        <v>0</v>
      </c>
      <c r="BV313" s="322"/>
      <c r="BW313" s="320"/>
      <c r="BX313" s="320"/>
      <c r="BY313" s="320"/>
      <c r="BZ313" s="320"/>
      <c r="CA313" s="320"/>
      <c r="CB313" s="320"/>
      <c r="CC313" s="275">
        <f t="shared" si="130"/>
        <v>0</v>
      </c>
      <c r="CD313" s="98"/>
      <c r="CE313" s="91"/>
      <c r="CF313" s="91"/>
      <c r="CG313" s="91"/>
      <c r="CH313" s="266" t="str">
        <f t="shared" si="131"/>
        <v/>
      </c>
      <c r="CI313" s="320"/>
      <c r="CJ313" s="280">
        <f t="shared" si="132"/>
        <v>0</v>
      </c>
      <c r="CK313" s="83">
        <v>9.51</v>
      </c>
      <c r="CL313" s="91">
        <v>15.95</v>
      </c>
      <c r="CM313" s="91">
        <v>13.95</v>
      </c>
      <c r="CN313" s="91">
        <v>6.66</v>
      </c>
      <c r="CO313" s="256">
        <f t="shared" si="133"/>
        <v>70.031545741324919</v>
      </c>
      <c r="CP313" s="320"/>
      <c r="CQ313" s="256">
        <f t="shared" si="134"/>
        <v>90.073750000000004</v>
      </c>
      <c r="CR313" s="256" t="str">
        <f>IF(CO313&lt;'Look Ups'!$AC$4,"Yes","No")</f>
        <v>No</v>
      </c>
      <c r="CS313" s="293">
        <f>IF(CR313="Yes",MIN(150,('Look Ups'!$AC$4-PSCR)/('Look Ups'!$AC$4-'Look Ups'!$AC$3)*100),0)</f>
        <v>0</v>
      </c>
      <c r="CT313" s="83"/>
      <c r="CU313" s="91"/>
      <c r="CV313" s="91"/>
      <c r="CW313" s="91"/>
      <c r="CX313" s="256" t="str">
        <f t="shared" si="135"/>
        <v/>
      </c>
      <c r="CY313" s="293">
        <f>IF(PUSCR&lt;'Look Ups'!$AC$4,MIN(150,('Look Ups'!$AC$4-PUSCR)/('Look Ups'!$AC$4-'Look Ups'!$AC$3)*100),0)</f>
        <v>0</v>
      </c>
      <c r="CZ313" s="275">
        <f>IF(PUSCR&lt;'Look Ups'!$AC$4,USCRF*(USCRL1+USCRL2)/4+(USCRMG-USCRF/2)*(USCRL1+USCRL2)/3,0)</f>
        <v>0</v>
      </c>
      <c r="DA313" s="294">
        <f t="shared" si="136"/>
        <v>1</v>
      </c>
      <c r="DB313" s="256">
        <f t="shared" si="137"/>
        <v>46.753969000000005</v>
      </c>
      <c r="DC313" s="256">
        <f t="shared" si="138"/>
        <v>1</v>
      </c>
      <c r="DD313" s="256">
        <f t="shared" si="139"/>
        <v>17.817707999999996</v>
      </c>
      <c r="DE313" s="256">
        <f>IF(AZ313&gt;0,'Look Ups'!$S$3,0)</f>
        <v>1</v>
      </c>
      <c r="DF313" s="256">
        <f t="shared" si="140"/>
        <v>0</v>
      </c>
      <c r="DG313" s="256">
        <f t="shared" si="141"/>
        <v>0</v>
      </c>
      <c r="DH313" s="256">
        <f t="shared" si="142"/>
        <v>0</v>
      </c>
      <c r="DI313" s="280">
        <f t="shared" si="143"/>
        <v>0</v>
      </c>
      <c r="DJ313" s="295" t="str">
        <f t="shared" si="144"/>
        <v>valid</v>
      </c>
      <c r="DK313" s="266" t="str">
        <f t="shared" si="145"/>
        <v>-</v>
      </c>
      <c r="DL313" s="267" t="str">
        <f t="shared" si="146"/>
        <v>MGScr</v>
      </c>
      <c r="DM313" s="294">
        <f t="shared" si="147"/>
        <v>64.571676999999994</v>
      </c>
      <c r="DN313" s="256">
        <f>IF(MSASP&gt;0,'Look Ups'!$AI$4*(ZVAL*MSASP-RSAG),0)</f>
        <v>0</v>
      </c>
      <c r="DO313" s="256">
        <f>IF(AND(MSASC&gt;0,(MSASC&gt;=0.36*RSAM)),('Look Ups'!$AI$3*(ZVAL*MSASC-RSAG)),(0))</f>
        <v>25.289614700000001</v>
      </c>
      <c r="DP313" s="256">
        <f>IF(MSASP&gt;0,'Look Ups'!$AI$5*(ZVAL*MSASP-RSAG),0)</f>
        <v>0</v>
      </c>
      <c r="DQ313" s="256">
        <f>IF(MSASC&gt;0,'Look Ups'!$AI$6*(MSASC-RSAG),0)</f>
        <v>5.057922940000001</v>
      </c>
      <c r="DR313" s="280">
        <f>'Look Ups'!$AI$7*MAX(IF(MSAUSC&gt;0,EUSC/100*(MSAUSC-RSAG),0),IF(CR313="Yes",ELSC/100*(MSASC-RSAG),0))</f>
        <v>0</v>
      </c>
      <c r="DS313" s="280">
        <f t="shared" si="148"/>
        <v>16.831428840000001</v>
      </c>
      <c r="DT313" s="296">
        <f t="shared" si="149"/>
        <v>89.861291699999995</v>
      </c>
      <c r="DU313" s="14"/>
    </row>
    <row r="314" spans="1:125" ht="15.6" customHeight="1" x14ac:dyDescent="0.3">
      <c r="A314" s="4"/>
      <c r="B314" s="365"/>
      <c r="C314" s="369" t="s">
        <v>1037</v>
      </c>
      <c r="D314" s="370" t="s">
        <v>1037</v>
      </c>
      <c r="E314" s="371" t="s">
        <v>1038</v>
      </c>
      <c r="F314" s="252">
        <f t="shared" ca="1" si="120"/>
        <v>0.93799999999999994</v>
      </c>
      <c r="G314" s="252" t="str">
        <f ca="1">IF(OR(FLSCR="ERROR",FLSPI="ERROR"),"No",IF(TODAY()-'Look Ups'!$D$4*365&gt;I314,"WP Applied","Yes"))</f>
        <v>WP Applied</v>
      </c>
      <c r="H314" s="253" t="str">
        <f t="shared" si="121"/>
        <v>Main-Genoa-Spinnaker</v>
      </c>
      <c r="I314" s="1">
        <v>39692</v>
      </c>
      <c r="J314" s="1"/>
      <c r="K314" s="87" t="s">
        <v>141</v>
      </c>
      <c r="L314" s="87" t="s">
        <v>182</v>
      </c>
      <c r="M314" s="207"/>
      <c r="N314" s="88" t="s">
        <v>143</v>
      </c>
      <c r="O314" s="88"/>
      <c r="P314" s="89"/>
      <c r="Q314" s="90">
        <v>9.74</v>
      </c>
      <c r="R314" s="87"/>
      <c r="S314" s="256">
        <f t="shared" si="122"/>
        <v>0.24350000000000002</v>
      </c>
      <c r="T314" s="117">
        <v>0.67</v>
      </c>
      <c r="U314" s="117">
        <v>0</v>
      </c>
      <c r="V314" s="258">
        <f t="shared" si="123"/>
        <v>9.07</v>
      </c>
      <c r="W314" s="259">
        <f>IF(RL&gt;0,IF(RL&gt;'Look Ups'!Y$7,'Look Ups'!Y$8,('Look Ups'!Y$3*RL^3+'Look Ups'!Y$4*RL^2+'Look Ups'!Y$5*RL+'Look Ups'!Y$6)),0)</f>
        <v>0.29681684721900004</v>
      </c>
      <c r="X314" s="92">
        <v>2195</v>
      </c>
      <c r="Y314" s="263">
        <f ca="1">IF(WDATE&lt;(TODAY()-'Look Ups'!$D$4*365),-WM*'Look Ups'!$D$5/100,0)</f>
        <v>-329.25</v>
      </c>
      <c r="Z314" s="103"/>
      <c r="AA314" s="109"/>
      <c r="AB314" s="109"/>
      <c r="AC314" s="265">
        <f>WCD+NC*'Look Ups'!$AF$3</f>
        <v>0</v>
      </c>
      <c r="AD314" s="265">
        <f ca="1">IF(RL&lt;'Look Ups'!AM$3,'Look Ups'!AM$4,IF(RL&gt;'Look Ups'!AM$5,'Look Ups'!AM$6,(RL-'Look Ups'!AM$3)/('Look Ups'!AM$5-'Look Ups'!AM$3)*('Look Ups'!AM$6-'Look Ups'!AM$4)+'Look Ups'!AM$4))/100*WS</f>
        <v>398.9312727272727</v>
      </c>
      <c r="AE314" s="269">
        <f t="shared" ca="1" si="124"/>
        <v>1865.75</v>
      </c>
      <c r="AF314" s="267">
        <f t="shared" ca="1" si="125"/>
        <v>1865.75</v>
      </c>
      <c r="AG314" s="94" t="s">
        <v>145</v>
      </c>
      <c r="AH314" s="95" t="s">
        <v>146</v>
      </c>
      <c r="AI314" s="96" t="s">
        <v>147</v>
      </c>
      <c r="AJ314" s="218"/>
      <c r="AK314" s="273">
        <f>IF(C314="",0,VLOOKUP(AG314,'Look Ups'!$F$3:$G$6,2,0)*VLOOKUP(AH314,'Look Ups'!$I$3:$J$5,2,0)*VLOOKUP(AI314,'Look Ups'!$L$3:$M$7,2,0)*IF(AJ314="",1,VLOOKUP(AJ314,'Look Ups'!$O$3:$P$4,2,0)))</f>
        <v>1</v>
      </c>
      <c r="AL314" s="83">
        <v>12.69</v>
      </c>
      <c r="AM314" s="91">
        <v>12.24</v>
      </c>
      <c r="AN314" s="91">
        <v>3.81</v>
      </c>
      <c r="AO314" s="91">
        <v>0.93</v>
      </c>
      <c r="AP314" s="91">
        <v>1.1499999999999999</v>
      </c>
      <c r="AQ314" s="91">
        <v>12.07</v>
      </c>
      <c r="AR314" s="91">
        <v>7.0000000000000007E-2</v>
      </c>
      <c r="AS314" s="91">
        <v>4.01</v>
      </c>
      <c r="AT314" s="91">
        <v>0.06</v>
      </c>
      <c r="AU314" s="91">
        <v>0.5</v>
      </c>
      <c r="AV314" s="91" t="s">
        <v>148</v>
      </c>
      <c r="AW314" s="97">
        <v>230908</v>
      </c>
      <c r="AX314" s="256">
        <f t="shared" si="126"/>
        <v>12.13</v>
      </c>
      <c r="AY314" s="256">
        <f t="shared" si="127"/>
        <v>2.2631250000000001</v>
      </c>
      <c r="AZ314" s="275">
        <f>IF(C314="",0,(0.5*(_ML1*LPM)+0.5*(_ML1*HB)+0.66*(P*PR)+0.66*(_ML2*RDM)+0.66*(E*ER))*VLOOKUP(BATT,'Look Ups'!$U$3:$V$4,2,0))</f>
        <v>40.081890000000001</v>
      </c>
      <c r="BA314" s="98"/>
      <c r="BB314" s="99"/>
      <c r="BC314" s="83">
        <v>10.5</v>
      </c>
      <c r="BD314" s="91">
        <v>5.1100000000000003</v>
      </c>
      <c r="BE314" s="91">
        <v>5.82</v>
      </c>
      <c r="BF314" s="91">
        <v>0.11</v>
      </c>
      <c r="BG314" s="91">
        <v>9.25</v>
      </c>
      <c r="BH314" s="91"/>
      <c r="BI314" s="91"/>
      <c r="BJ314" s="91">
        <v>-0.18</v>
      </c>
      <c r="BK314" s="91">
        <v>0</v>
      </c>
      <c r="BL314" s="97">
        <v>1</v>
      </c>
      <c r="BM314" s="275">
        <f t="shared" si="128"/>
        <v>26.151132</v>
      </c>
      <c r="BN314" s="319"/>
      <c r="BO314" s="320"/>
      <c r="BP314" s="321"/>
      <c r="BQ314" s="321"/>
      <c r="BR314" s="320"/>
      <c r="BS314" s="321"/>
      <c r="BT314" s="321"/>
      <c r="BU314" s="280">
        <f t="shared" si="129"/>
        <v>0</v>
      </c>
      <c r="BV314" s="322"/>
      <c r="BW314" s="320"/>
      <c r="BX314" s="320"/>
      <c r="BY314" s="320"/>
      <c r="BZ314" s="320"/>
      <c r="CA314" s="320"/>
      <c r="CB314" s="320"/>
      <c r="CC314" s="275">
        <f t="shared" si="130"/>
        <v>0</v>
      </c>
      <c r="CD314" s="98">
        <v>9.9</v>
      </c>
      <c r="CE314" s="91">
        <v>15.1</v>
      </c>
      <c r="CF314" s="91">
        <v>12.75</v>
      </c>
      <c r="CG314" s="91">
        <v>8.2200000000000006</v>
      </c>
      <c r="CH314" s="266">
        <f t="shared" si="131"/>
        <v>83.030303030303031</v>
      </c>
      <c r="CI314" s="320"/>
      <c r="CJ314" s="280">
        <f t="shared" si="132"/>
        <v>99.285250000000019</v>
      </c>
      <c r="CK314" s="83"/>
      <c r="CL314" s="91"/>
      <c r="CM314" s="91"/>
      <c r="CN314" s="91"/>
      <c r="CO314" s="256" t="str">
        <f t="shared" si="133"/>
        <v/>
      </c>
      <c r="CP314" s="320"/>
      <c r="CQ314" s="256">
        <f t="shared" si="134"/>
        <v>0</v>
      </c>
      <c r="CR314" s="256" t="str">
        <f>IF(CO314&lt;'Look Ups'!$AC$4,"Yes","No")</f>
        <v>No</v>
      </c>
      <c r="CS314" s="293">
        <f>IF(CR314="Yes",MIN(150,('Look Ups'!$AC$4-PSCR)/('Look Ups'!$AC$4-'Look Ups'!$AC$3)*100),0)</f>
        <v>0</v>
      </c>
      <c r="CT314" s="83"/>
      <c r="CU314" s="91"/>
      <c r="CV314" s="91"/>
      <c r="CW314" s="91"/>
      <c r="CX314" s="256" t="str">
        <f t="shared" si="135"/>
        <v/>
      </c>
      <c r="CY314" s="293">
        <f>IF(PUSCR&lt;'Look Ups'!$AC$4,MIN(150,('Look Ups'!$AC$4-PUSCR)/('Look Ups'!$AC$4-'Look Ups'!$AC$3)*100),0)</f>
        <v>0</v>
      </c>
      <c r="CZ314" s="275">
        <f>IF(PUSCR&lt;'Look Ups'!$AC$4,USCRF*(USCRL1+USCRL2)/4+(USCRMG-USCRF/2)*(USCRL1+USCRL2)/3,0)</f>
        <v>0</v>
      </c>
      <c r="DA314" s="294">
        <f t="shared" si="136"/>
        <v>1</v>
      </c>
      <c r="DB314" s="256">
        <f t="shared" si="137"/>
        <v>42.345015000000004</v>
      </c>
      <c r="DC314" s="256">
        <f t="shared" si="138"/>
        <v>1</v>
      </c>
      <c r="DD314" s="256">
        <f t="shared" si="139"/>
        <v>26.151132</v>
      </c>
      <c r="DE314" s="256">
        <f>IF(AZ314&gt;0,'Look Ups'!$S$3,0)</f>
        <v>1</v>
      </c>
      <c r="DF314" s="256">
        <f t="shared" si="140"/>
        <v>0</v>
      </c>
      <c r="DG314" s="256">
        <f t="shared" si="141"/>
        <v>0</v>
      </c>
      <c r="DH314" s="256">
        <f t="shared" si="142"/>
        <v>0</v>
      </c>
      <c r="DI314" s="280">
        <f t="shared" si="143"/>
        <v>0</v>
      </c>
      <c r="DJ314" s="295" t="str">
        <f t="shared" si="144"/>
        <v>-</v>
      </c>
      <c r="DK314" s="266" t="str">
        <f t="shared" si="145"/>
        <v>valid</v>
      </c>
      <c r="DL314" s="267" t="str">
        <f t="shared" si="146"/>
        <v>MGSP</v>
      </c>
      <c r="DM314" s="294">
        <f t="shared" si="147"/>
        <v>68.496147000000008</v>
      </c>
      <c r="DN314" s="256">
        <f>IF(MSASP&gt;0,'Look Ups'!$AI$4*(ZVAL*MSASP-RSAG),0)</f>
        <v>21.940235400000002</v>
      </c>
      <c r="DO314" s="256">
        <f>IF(AND(MSASC&gt;0,(MSASC&gt;=0.36*RSAM)),('Look Ups'!$AI$3*(ZVAL*MSASC-RSAG)),(0))</f>
        <v>0</v>
      </c>
      <c r="DP314" s="256">
        <f>IF(MSASP&gt;0,'Look Ups'!$AI$5*(ZVAL*MSASP-RSAG),0)</f>
        <v>20.477553040000007</v>
      </c>
      <c r="DQ314" s="256">
        <f>IF(MSASC&gt;0,'Look Ups'!$AI$6*(MSASC-RSAG),0)</f>
        <v>0</v>
      </c>
      <c r="DR314" s="280">
        <f>'Look Ups'!$AI$7*MAX(IF(MSAUSC&gt;0,EUSC/100*(MSAUSC-RSAG),0),IF(CR314="Yes",ELSC/100*(MSASC-RSAG),0))</f>
        <v>0</v>
      </c>
      <c r="DS314" s="280">
        <f t="shared" si="148"/>
        <v>15.2442054</v>
      </c>
      <c r="DT314" s="296">
        <f t="shared" si="149"/>
        <v>90.436382400000014</v>
      </c>
      <c r="DU314" s="14"/>
    </row>
    <row r="315" spans="1:125" ht="15.6" customHeight="1" x14ac:dyDescent="0.3">
      <c r="A315" s="4"/>
      <c r="B315" s="365"/>
      <c r="C315" s="369" t="s">
        <v>1041</v>
      </c>
      <c r="D315" s="370" t="s">
        <v>1042</v>
      </c>
      <c r="E315" s="371" t="s">
        <v>1043</v>
      </c>
      <c r="F315" s="252">
        <f t="shared" ca="1" si="120"/>
        <v>1.1719999999999999</v>
      </c>
      <c r="G315" s="252" t="str">
        <f ca="1">IF(OR(FLSCR="ERROR",FLSPI="ERROR"),"No",IF(TODAY()-'Look Ups'!$D$4*365&gt;I315,"WP Applied","Yes"))</f>
        <v>WP Applied</v>
      </c>
      <c r="H315" s="253" t="str">
        <f t="shared" si="121"/>
        <v>Main-Genoa-Screacher (Upwind)-Spinnaker</v>
      </c>
      <c r="I315" s="1">
        <v>41494</v>
      </c>
      <c r="J315" s="1">
        <v>43859</v>
      </c>
      <c r="K315" s="87" t="s">
        <v>153</v>
      </c>
      <c r="L315" s="87" t="s">
        <v>176</v>
      </c>
      <c r="M315" s="207"/>
      <c r="N315" s="88" t="s">
        <v>165</v>
      </c>
      <c r="O315" s="88" t="s">
        <v>144</v>
      </c>
      <c r="P315" s="89"/>
      <c r="Q315" s="90">
        <v>9.9499999999999993</v>
      </c>
      <c r="R315" s="87"/>
      <c r="S315" s="256">
        <f t="shared" si="122"/>
        <v>0.24875</v>
      </c>
      <c r="T315" s="117">
        <v>0</v>
      </c>
      <c r="U315" s="117">
        <v>0</v>
      </c>
      <c r="V315" s="258">
        <f t="shared" si="123"/>
        <v>9.9499999999999993</v>
      </c>
      <c r="W315" s="259">
        <f>IF(RL&gt;0,IF(RL&gt;'Look Ups'!Y$7,'Look Ups'!Y$8,('Look Ups'!Y$3*RL^3+'Look Ups'!Y$4*RL^2+'Look Ups'!Y$5*RL+'Look Ups'!Y$6)),0)</f>
        <v>0.29842897087500003</v>
      </c>
      <c r="X315" s="92">
        <f>1284-12.5</f>
        <v>1271.5</v>
      </c>
      <c r="Y315" s="263">
        <f ca="1">IF(WDATE&lt;(TODAY()-'Look Ups'!$D$4*365),-WM*'Look Ups'!$D$5/100,0)</f>
        <v>-190.72499999999999</v>
      </c>
      <c r="Z315" s="103"/>
      <c r="AA315" s="109"/>
      <c r="AB315" s="109"/>
      <c r="AC315" s="265">
        <f>WCD+NC*'Look Ups'!$AF$3</f>
        <v>0</v>
      </c>
      <c r="AD315" s="265">
        <f ca="1">IF(RL&lt;'Look Ups'!AM$3,'Look Ups'!AM$4,IF(RL&gt;'Look Ups'!AM$5,'Look Ups'!AM$6,(RL-'Look Ups'!AM$3)/('Look Ups'!AM$5-'Look Ups'!AM$3)*('Look Ups'!AM$6-'Look Ups'!AM$4)+'Look Ups'!AM$4))/100*WS</f>
        <v>196.50454545454548</v>
      </c>
      <c r="AE315" s="269">
        <f t="shared" ca="1" si="124"/>
        <v>1080.7750000000001</v>
      </c>
      <c r="AF315" s="267">
        <f t="shared" ca="1" si="125"/>
        <v>1080.7750000000001</v>
      </c>
      <c r="AG315" s="94" t="s">
        <v>145</v>
      </c>
      <c r="AH315" s="95" t="s">
        <v>146</v>
      </c>
      <c r="AI315" s="96" t="s">
        <v>147</v>
      </c>
      <c r="AJ315" s="218"/>
      <c r="AK315" s="273">
        <f>IF(C315="",0,VLOOKUP(AG315,'Look Ups'!$F$3:$G$6,2,0)*VLOOKUP(AH315,'Look Ups'!$I$3:$J$5,2,0)*VLOOKUP(AI315,'Look Ups'!$L$3:$M$7,2,0)*IF(AJ315="",1,VLOOKUP(AJ315,'Look Ups'!$O$3:$P$4,2,0)))</f>
        <v>1</v>
      </c>
      <c r="AL315" s="83">
        <v>15.18</v>
      </c>
      <c r="AM315" s="91">
        <v>15</v>
      </c>
      <c r="AN315" s="91">
        <v>3.81</v>
      </c>
      <c r="AO315" s="91">
        <v>2.0699999999999998</v>
      </c>
      <c r="AP315" s="91">
        <v>0.11</v>
      </c>
      <c r="AQ315" s="91">
        <v>15.14</v>
      </c>
      <c r="AR315" s="91">
        <v>0.11</v>
      </c>
      <c r="AS315" s="91">
        <v>3.85</v>
      </c>
      <c r="AT315" s="91">
        <v>0.02</v>
      </c>
      <c r="AU315" s="91">
        <v>0.6</v>
      </c>
      <c r="AV315" s="91" t="s">
        <v>148</v>
      </c>
      <c r="AW315" s="97">
        <v>0</v>
      </c>
      <c r="AX315" s="256">
        <f t="shared" si="126"/>
        <v>15.16</v>
      </c>
      <c r="AY315" s="256">
        <f t="shared" si="127"/>
        <v>3.4064999999999999</v>
      </c>
      <c r="AZ315" s="275">
        <f>IF(C315="",0,(0.5*(_ML1*LPM)+0.5*(_ML1*HB)+0.66*(P*PR)+0.66*(_ML2*RDM)+0.66*(E*ER))*VLOOKUP(BATT,'Look Ups'!$U$3:$V$4,2,0))</f>
        <v>46.868183999999999</v>
      </c>
      <c r="BA315" s="98"/>
      <c r="BB315" s="99"/>
      <c r="BC315" s="83">
        <v>11.46</v>
      </c>
      <c r="BD315" s="91">
        <v>3.42</v>
      </c>
      <c r="BE315" s="91">
        <v>3.55</v>
      </c>
      <c r="BF315" s="91">
        <v>0.12</v>
      </c>
      <c r="BG315" s="91">
        <v>11.13</v>
      </c>
      <c r="BH315" s="91">
        <v>10.66</v>
      </c>
      <c r="BI315" s="91"/>
      <c r="BJ315" s="91">
        <v>7.0000000000000007E-2</v>
      </c>
      <c r="BK315" s="91">
        <v>-0.12</v>
      </c>
      <c r="BL315" s="97"/>
      <c r="BM315" s="275">
        <f t="shared" si="128"/>
        <v>19.484334000000004</v>
      </c>
      <c r="BN315" s="319"/>
      <c r="BO315" s="320"/>
      <c r="BP315" s="321"/>
      <c r="BQ315" s="321"/>
      <c r="BR315" s="320"/>
      <c r="BS315" s="321"/>
      <c r="BT315" s="321"/>
      <c r="BU315" s="280">
        <f t="shared" si="129"/>
        <v>0</v>
      </c>
      <c r="BV315" s="322"/>
      <c r="BW315" s="320"/>
      <c r="BX315" s="320"/>
      <c r="BY315" s="320"/>
      <c r="BZ315" s="320"/>
      <c r="CA315" s="320"/>
      <c r="CB315" s="320"/>
      <c r="CC315" s="275">
        <f t="shared" si="130"/>
        <v>0</v>
      </c>
      <c r="CD315" s="98">
        <v>8.25</v>
      </c>
      <c r="CE315" s="91">
        <v>16.8</v>
      </c>
      <c r="CF315" s="91">
        <v>14.83</v>
      </c>
      <c r="CG315" s="91">
        <v>6.24</v>
      </c>
      <c r="CH315" s="266">
        <f t="shared" si="131"/>
        <v>75.63636363636364</v>
      </c>
      <c r="CI315" s="320"/>
      <c r="CJ315" s="280">
        <f t="shared" si="132"/>
        <v>87.536025000000009</v>
      </c>
      <c r="CK315" s="83">
        <v>6.65</v>
      </c>
      <c r="CL315" s="91">
        <v>15.81</v>
      </c>
      <c r="CM315" s="91">
        <v>13.72</v>
      </c>
      <c r="CN315" s="91">
        <v>3.33</v>
      </c>
      <c r="CO315" s="256">
        <f t="shared" si="133"/>
        <v>50.075187969924805</v>
      </c>
      <c r="CP315" s="320"/>
      <c r="CQ315" s="256">
        <f t="shared" si="134"/>
        <v>49.142841666666669</v>
      </c>
      <c r="CR315" s="256" t="str">
        <f>IF(CO315&lt;'Look Ups'!$AC$4,"Yes","No")</f>
        <v>Yes</v>
      </c>
      <c r="CS315" s="293">
        <f>IF(CR315="Yes",MIN(150,('Look Ups'!$AC$4-PSCR)/('Look Ups'!$AC$4-'Look Ups'!$AC$3)*100),0)</f>
        <v>38.496240601503899</v>
      </c>
      <c r="CT315" s="83"/>
      <c r="CU315" s="91"/>
      <c r="CV315" s="91"/>
      <c r="CW315" s="91"/>
      <c r="CX315" s="256" t="str">
        <f t="shared" si="135"/>
        <v/>
      </c>
      <c r="CY315" s="293">
        <f>IF(PUSCR&lt;'Look Ups'!$AC$4,MIN(150,('Look Ups'!$AC$4-PUSCR)/('Look Ups'!$AC$4-'Look Ups'!$AC$3)*100),0)</f>
        <v>0</v>
      </c>
      <c r="CZ315" s="275">
        <f>IF(PUSCR&lt;'Look Ups'!$AC$4,USCRF*(USCRL1+USCRL2)/4+(USCRMG-USCRF/2)*(USCRL1+USCRL2)/3,0)</f>
        <v>0</v>
      </c>
      <c r="DA315" s="294">
        <f t="shared" si="136"/>
        <v>1</v>
      </c>
      <c r="DB315" s="256">
        <f t="shared" si="137"/>
        <v>50.274684000000001</v>
      </c>
      <c r="DC315" s="256">
        <f t="shared" si="138"/>
        <v>1</v>
      </c>
      <c r="DD315" s="256">
        <f t="shared" si="139"/>
        <v>19.484334000000004</v>
      </c>
      <c r="DE315" s="256">
        <f>IF(AZ315&gt;0,'Look Ups'!$S$3,0)</f>
        <v>1</v>
      </c>
      <c r="DF315" s="256">
        <f t="shared" si="140"/>
        <v>0</v>
      </c>
      <c r="DG315" s="256">
        <f t="shared" si="141"/>
        <v>0</v>
      </c>
      <c r="DH315" s="256">
        <f t="shared" si="142"/>
        <v>0</v>
      </c>
      <c r="DI315" s="280">
        <f t="shared" si="143"/>
        <v>0</v>
      </c>
      <c r="DJ315" s="295" t="str">
        <f t="shared" si="144"/>
        <v>valid</v>
      </c>
      <c r="DK315" s="266" t="str">
        <f t="shared" si="145"/>
        <v>valid</v>
      </c>
      <c r="DL315" s="267" t="str">
        <f t="shared" si="146"/>
        <v>MGScrSP</v>
      </c>
      <c r="DM315" s="294">
        <f t="shared" si="147"/>
        <v>69.759017999999998</v>
      </c>
      <c r="DN315" s="256">
        <f>IF(MSASP&gt;0,'Look Ups'!$AI$4*(ZVAL*MSASP-RSAG),0)</f>
        <v>20.415507300000002</v>
      </c>
      <c r="DO315" s="256">
        <f>IF(AND(MSASC&gt;0,(MSASC&gt;=0.36*RSAM)),('Look Ups'!$AI$3*(ZVAL*MSASC-RSAG)),(0))</f>
        <v>10.380477683333332</v>
      </c>
      <c r="DP315" s="256">
        <f>IF(MSASP&gt;0,'Look Ups'!$AI$5*(ZVAL*MSASP-RSAG),0)</f>
        <v>19.054473480000002</v>
      </c>
      <c r="DQ315" s="256">
        <f>IF(MSASC&gt;0,'Look Ups'!$AI$6*(MSASC-RSAG),0)</f>
        <v>2.0760955366666667</v>
      </c>
      <c r="DR315" s="280">
        <f>'Look Ups'!$AI$7*MAX(IF(MSAUSC&gt;0,EUSC/100*(MSAUSC-RSAG),0),IF(CR315="Yes",ELSC/100*(MSASC-RSAG),0))</f>
        <v>2.8543526175438698</v>
      </c>
      <c r="DS315" s="280">
        <f t="shared" si="148"/>
        <v>18.098886239999999</v>
      </c>
      <c r="DT315" s="296">
        <f t="shared" si="149"/>
        <v>93.743939634210534</v>
      </c>
      <c r="DU315" s="14"/>
    </row>
    <row r="316" spans="1:125" ht="15.6" customHeight="1" x14ac:dyDescent="0.3">
      <c r="A316" s="4"/>
      <c r="B316" s="365"/>
      <c r="C316" s="369" t="s">
        <v>552</v>
      </c>
      <c r="D316" s="370" t="s">
        <v>427</v>
      </c>
      <c r="E316" s="371" t="s">
        <v>428</v>
      </c>
      <c r="F316" s="252">
        <f t="shared" ref="F316:F334" ca="1" si="150">IF(RW=0,0,ROUND(DLF*0.93*RL^LF*RSA^0.4/RW^0.325,3))</f>
        <v>1.0309999999999999</v>
      </c>
      <c r="G316" s="252" t="str">
        <f ca="1">IF(OR(FLSCR="ERROR",FLSPI="ERROR"),"No",IF(TODAY()-'Look Ups'!$D$4*365&gt;I316,"WP Applied","Yes"))</f>
        <v>WP Applied</v>
      </c>
      <c r="H316" s="253" t="str">
        <f t="shared" ref="H316:H334" si="151">IF(SPC="","",CONCATENATE("Main-Genoa",IF(FLSCR="valid",IF(OR(CR316="Yes",MSAUSC&gt;0),"-Screacher (Upwind)","-Screacher"),""),IF(FLSPI="valid","-Spinnaker",""),IF(RSAMZ&gt;0,"-Mizzen",""),IF(RSA2M&gt;0,"-Second Main",""),IF(AS&gt;0,"-Staysail",""),IF(AD&gt;0,"-Drifter","")))</f>
        <v>Main-Genoa-Spinnaker</v>
      </c>
      <c r="I316" s="1">
        <v>38798</v>
      </c>
      <c r="J316" s="1"/>
      <c r="K316" s="87" t="s">
        <v>218</v>
      </c>
      <c r="L316" s="87" t="s">
        <v>641</v>
      </c>
      <c r="M316" s="207"/>
      <c r="N316" s="88" t="s">
        <v>208</v>
      </c>
      <c r="O316" s="88"/>
      <c r="P316" s="89"/>
      <c r="Q316" s="90">
        <v>8.58</v>
      </c>
      <c r="R316" s="87"/>
      <c r="S316" s="256">
        <f t="shared" ref="S316:S334" si="152">IF((LOAA&gt;LOA),0.025*LOAA,0.025*LOA)</f>
        <v>0.21450000000000002</v>
      </c>
      <c r="T316" s="117">
        <v>0.16</v>
      </c>
      <c r="U316" s="117">
        <v>0</v>
      </c>
      <c r="V316" s="258">
        <f t="shared" ref="V316:V334" si="153">IF((_xlfn.SINGLE(LOAA)&gt;_xlfn.SINGLE(LOA)),_xlfn.SINGLE(LOAA),_xlfn.SINGLE(LOA)-_xlfn.SINGLE(FOC)-_xlfn.SINGLE(AOC))</f>
        <v>8.42</v>
      </c>
      <c r="W316" s="259">
        <f>IF(RL&gt;0,IF(RL&gt;'Look Ups'!Y$7,'Look Ups'!Y$8,('Look Ups'!Y$3*RL^3+'Look Ups'!Y$4*RL^2+'Look Ups'!Y$5*RL+'Look Ups'!Y$6)),0)</f>
        <v>0.29513431370400001</v>
      </c>
      <c r="X316" s="92">
        <v>1280</v>
      </c>
      <c r="Y316" s="263">
        <f ca="1">IF(WDATE&lt;(TODAY()-'Look Ups'!$D$4*365),-WM*'Look Ups'!$D$5/100,0)</f>
        <v>-192</v>
      </c>
      <c r="Z316" s="103"/>
      <c r="AA316" s="109"/>
      <c r="AB316" s="109"/>
      <c r="AC316" s="265">
        <f>WCD+NC*'Look Ups'!$AF$3</f>
        <v>0</v>
      </c>
      <c r="AD316" s="265">
        <f ca="1">IF(RL&lt;'Look Ups'!AM$3,'Look Ups'!AM$4,IF(RL&gt;'Look Ups'!AM$5,'Look Ups'!AM$6,(RL-'Look Ups'!AM$3)/('Look Ups'!AM$5-'Look Ups'!AM$3)*('Look Ups'!AM$6-'Look Ups'!AM$4)+'Look Ups'!AM$4))/100*WS</f>
        <v>258.35054545454545</v>
      </c>
      <c r="AE316" s="269">
        <f t="shared" ref="AE316:AE334" ca="1" si="154">WM+WP+WE</f>
        <v>1088</v>
      </c>
      <c r="AF316" s="267">
        <f t="shared" ref="AF316:AF334" ca="1" si="155">_xlfn.SINGLE(WS)+IF(_xlfn.SINGLE(TCW)&gt;=_xlfn.SINGLE(CWA),_xlfn.SINGLE(CWA),_xlfn.SINGLE(TCW))</f>
        <v>1088</v>
      </c>
      <c r="AG316" s="94" t="s">
        <v>145</v>
      </c>
      <c r="AH316" s="95" t="s">
        <v>146</v>
      </c>
      <c r="AI316" s="96" t="s">
        <v>147</v>
      </c>
      <c r="AJ316" s="218"/>
      <c r="AK316" s="273">
        <f>IF(C316="",0,VLOOKUP(AG316,'Look Ups'!$F$3:$G$6,2,0)*VLOOKUP(AH316,'Look Ups'!$I$3:$J$5,2,0)*VLOOKUP(AI316,'Look Ups'!$L$3:$M$7,2,0)*IF(AJ316="",1,VLOOKUP(AJ316,'Look Ups'!$O$3:$P$4,2,0)))</f>
        <v>1</v>
      </c>
      <c r="AL316" s="83">
        <v>11.62</v>
      </c>
      <c r="AM316" s="91">
        <v>11.25</v>
      </c>
      <c r="AN316" s="91">
        <v>3.7</v>
      </c>
      <c r="AO316" s="91">
        <v>2.02</v>
      </c>
      <c r="AP316" s="91">
        <v>0.59</v>
      </c>
      <c r="AQ316" s="91">
        <v>11.19</v>
      </c>
      <c r="AR316" s="91">
        <v>0.1</v>
      </c>
      <c r="AS316" s="91">
        <v>3.85</v>
      </c>
      <c r="AT316" s="91">
        <v>-0.03</v>
      </c>
      <c r="AU316" s="91"/>
      <c r="AV316" s="91" t="s">
        <v>148</v>
      </c>
      <c r="AW316" s="97">
        <v>0</v>
      </c>
      <c r="AX316" s="256">
        <f t="shared" ref="AX316:AX334" si="156">P+ER</f>
        <v>11.16</v>
      </c>
      <c r="AY316" s="256">
        <f t="shared" ref="AY316:AY334" si="157">P*0.375*MC</f>
        <v>0</v>
      </c>
      <c r="AZ316" s="275">
        <f>IF(C316="",0,(0.5*(_ML1*LPM)+0.5*(_ML1*HB)+0.66*(P*PR)+0.66*(_ML2*RDM)+0.66*(E*ER))*VLOOKUP(BATT,'Look Ups'!$U$3:$V$4,2,0))</f>
        <v>38.276259999999994</v>
      </c>
      <c r="BA316" s="98"/>
      <c r="BB316" s="99"/>
      <c r="BC316" s="83">
        <v>10.15</v>
      </c>
      <c r="BD316" s="91">
        <v>3.7</v>
      </c>
      <c r="BE316" s="91">
        <v>3.89</v>
      </c>
      <c r="BF316" s="91">
        <v>0.12</v>
      </c>
      <c r="BG316" s="91">
        <v>9.4600000000000009</v>
      </c>
      <c r="BH316" s="91"/>
      <c r="BI316" s="91"/>
      <c r="BJ316" s="91">
        <v>0.25</v>
      </c>
      <c r="BK316" s="91">
        <v>0</v>
      </c>
      <c r="BL316" s="97">
        <v>0</v>
      </c>
      <c r="BM316" s="275">
        <f t="shared" ref="BM316:BM334" si="158">(0.5*LL*LPG)+(0.5*_LG1*HG)+(0.66*LL*LLRG)+(0.66*FG*FRG)+(IF((HG&gt;0),(0.66*_LG2*LRG),(0.66*_LG1*LRG)))</f>
        <v>20.646488000000002</v>
      </c>
      <c r="BN316" s="319"/>
      <c r="BO316" s="320"/>
      <c r="BP316" s="321"/>
      <c r="BQ316" s="321"/>
      <c r="BR316" s="320"/>
      <c r="BS316" s="321"/>
      <c r="BT316" s="321"/>
      <c r="BU316" s="280">
        <f t="shared" ref="BU316:BU334" si="159">(0.5*LLS*LPS)+(0.66*LLS*LLRS)+(0.66*LS*LRS)+(0.66*FS*FRS)</f>
        <v>0</v>
      </c>
      <c r="BV316" s="322"/>
      <c r="BW316" s="320"/>
      <c r="BX316" s="320"/>
      <c r="BY316" s="320"/>
      <c r="BZ316" s="320"/>
      <c r="CA316" s="320"/>
      <c r="CB316" s="320"/>
      <c r="CC316" s="275">
        <f t="shared" ref="CC316:CC334" si="160">(0.5*LLD*LPD)+(0.66*LLD*LLRD)+(0.66*LCHD*LRD)+(0.66*FD*FRD)</f>
        <v>0</v>
      </c>
      <c r="CD316" s="98">
        <v>8.8000000000000007</v>
      </c>
      <c r="CE316" s="91">
        <v>14.18</v>
      </c>
      <c r="CF316" s="91">
        <v>12.8</v>
      </c>
      <c r="CG316" s="91">
        <v>7.46</v>
      </c>
      <c r="CH316" s="266">
        <f t="shared" ref="CH316:CH334" si="161">IF(SF&gt;0,SMG/SF*100,"")</f>
        <v>84.772727272727266</v>
      </c>
      <c r="CI316" s="320"/>
      <c r="CJ316" s="280">
        <f t="shared" ref="CJ316:CJ334" si="162">SF*(_SL1+_SL2)/4+(SMG-SF/2)*(_SL1+_SL2)/3</f>
        <v>86.875600000000006</v>
      </c>
      <c r="CK316" s="83"/>
      <c r="CL316" s="91"/>
      <c r="CM316" s="91"/>
      <c r="CN316" s="91"/>
      <c r="CO316" s="256" t="str">
        <f t="shared" ref="CO316:CO334" si="163">IF(SCRF&gt;0,SCRMG/SCRF*100,"")</f>
        <v/>
      </c>
      <c r="CP316" s="320"/>
      <c r="CQ316" s="256">
        <f t="shared" ref="CQ316:CQ334" si="164">SCRF*(SCRL1+SCRL2)/4+(SCRMG-SCRF/2)*(SCRL1+SCRL2)/3</f>
        <v>0</v>
      </c>
      <c r="CR316" s="256" t="str">
        <f>IF(CO316&lt;'Look Ups'!$AC$4,"Yes","No")</f>
        <v>No</v>
      </c>
      <c r="CS316" s="293">
        <f>IF(CR316="Yes",MIN(150,('Look Ups'!$AC$4-PSCR)/('Look Ups'!$AC$4-'Look Ups'!$AC$3)*100),0)</f>
        <v>0</v>
      </c>
      <c r="CT316" s="83"/>
      <c r="CU316" s="91"/>
      <c r="CV316" s="91"/>
      <c r="CW316" s="91"/>
      <c r="CX316" s="256" t="str">
        <f t="shared" ref="CX316:CX334" si="165">IF(USCRF&gt;0,USCRMG/USCRF*100,"")</f>
        <v/>
      </c>
      <c r="CY316" s="293">
        <f>IF(PUSCR&lt;'Look Ups'!$AC$4,MIN(150,('Look Ups'!$AC$4-PUSCR)/('Look Ups'!$AC$4-'Look Ups'!$AC$3)*100),0)</f>
        <v>0</v>
      </c>
      <c r="CZ316" s="275">
        <f>IF(PUSCR&lt;'Look Ups'!$AC$4,USCRF*(USCRL1+USCRL2)/4+(USCRMG-USCRF/2)*(USCRL1+USCRL2)/3,0)</f>
        <v>0</v>
      </c>
      <c r="DA316" s="294">
        <f t="shared" ref="DA316:DA334" si="166">IF(ZVAL=1,1,IF(LPM&gt;0,0.64*((AM+MAM)/(E+(MC/2))^2)^0.3,0))</f>
        <v>1</v>
      </c>
      <c r="DB316" s="256">
        <f t="shared" ref="DB316:DB334" si="167">0.65*((AM+MAM)*EFM)+0.35*((AM+MAM)*ZVAL)</f>
        <v>38.276259999999994</v>
      </c>
      <c r="DC316" s="256">
        <f t="shared" ref="DC316:DC334" si="168">IF(ZVAL=1,1,IF(LPG&gt;0,0.72*(AG/(LPG^2))^0.3,0))</f>
        <v>1</v>
      </c>
      <c r="DD316" s="256">
        <f t="shared" ref="DD316:DD334" si="169">AG*EFG</f>
        <v>20.646488000000002</v>
      </c>
      <c r="DE316" s="256">
        <f>IF(AZ316&gt;0,'Look Ups'!$S$3,0)</f>
        <v>1</v>
      </c>
      <c r="DF316" s="256">
        <f t="shared" ref="DF316:DF334" si="170">IF(LPS&gt;0,0.72*(AS/(LPS^2))^0.3,0)</f>
        <v>0</v>
      </c>
      <c r="DG316" s="256">
        <f t="shared" ref="DG316:DG334" si="171">EFS*AS</f>
        <v>0</v>
      </c>
      <c r="DH316" s="256">
        <f t="shared" ref="DH316:DH334" si="172">IF(LPD&gt;0,0.72*(AD/(LPD^2))^0.3,0)</f>
        <v>0</v>
      </c>
      <c r="DI316" s="280">
        <f t="shared" ref="DI316:DI334" si="173">IF((AD-AG)&gt;0,0.3*(AD-AG)*EFD,0)</f>
        <v>0</v>
      </c>
      <c r="DJ316" s="295" t="str">
        <f t="shared" ref="DJ316:DJ334" si="174">IF((SCRF=0),"-",IF(AND(MSASC&gt;AG,SCRMG&lt;(0.75*SCRF)),"valid","ERROR"))</f>
        <v>-</v>
      </c>
      <c r="DK316" s="266" t="str">
        <f t="shared" ref="DK316:DK334" si="175">IF((SF=0),"-",IF((SMG&lt;(0.75*SF)),"ERROR",IF(AND(MSASP&gt;MSASC,MSASP&gt;AG,MSASP&gt;=0.36*RSAM),"valid","Small")))</f>
        <v>valid</v>
      </c>
      <c r="DL316" s="267" t="str">
        <f t="shared" ref="DL316:DL334" si="176">IF(C316="","",CONCATENATE("MG",IF(FLSCR="valid","Scr",""),IF(FLSPI="valid","SP","")))</f>
        <v>MGSP</v>
      </c>
      <c r="DM316" s="294">
        <f t="shared" ref="DM316:DM334" si="177">RSAM+RSAG</f>
        <v>58.922747999999999</v>
      </c>
      <c r="DN316" s="256">
        <f>IF(MSASP&gt;0,'Look Ups'!$AI$4*(ZVAL*MSASP-RSAG),0)</f>
        <v>19.868733599999999</v>
      </c>
      <c r="DO316" s="256">
        <f>IF(AND(MSASC&gt;0,(MSASC&gt;=0.36*RSAM)),('Look Ups'!$AI$3*(ZVAL*MSASC-RSAG)),(0))</f>
        <v>0</v>
      </c>
      <c r="DP316" s="256">
        <f>IF(MSASP&gt;0,'Look Ups'!$AI$5*(ZVAL*MSASP-RSAG),0)</f>
        <v>18.544151360000001</v>
      </c>
      <c r="DQ316" s="256">
        <f>IF(MSASC&gt;0,'Look Ups'!$AI$6*(MSASC-RSAG),0)</f>
        <v>0</v>
      </c>
      <c r="DR316" s="280">
        <f>'Look Ups'!$AI$7*MAX(IF(MSAUSC&gt;0,EUSC/100*(MSAUSC-RSAG),0),IF(CR316="Yes",ELSC/100*(MSASC-RSAG),0))</f>
        <v>0</v>
      </c>
      <c r="DS316" s="280">
        <f t="shared" ref="DS316:DS334" si="178">0.36*RSAM</f>
        <v>13.779453599999997</v>
      </c>
      <c r="DT316" s="296">
        <f t="shared" ref="DT316:DT334" si="179">_xlfn.IFS(SPC="MG",RAMG+DS316,SPC="MGScr",RAMG+RASCO,SPC="MGSp",RAMG+RASPO,SPC="MGScrSp",RAMG+RASPSC+RASCR)+RAUSC+RSAST+RSAD+RSAMZ+RSA2M</f>
        <v>78.791481599999997</v>
      </c>
      <c r="DU316" s="14"/>
    </row>
    <row r="317" spans="1:125" ht="15.6" customHeight="1" x14ac:dyDescent="0.3">
      <c r="A317" s="4"/>
      <c r="B317" s="365"/>
      <c r="C317" s="369" t="s">
        <v>1044</v>
      </c>
      <c r="D317" s="370"/>
      <c r="E317" s="371" t="s">
        <v>1045</v>
      </c>
      <c r="F317" s="252">
        <f t="shared" ca="1" si="150"/>
        <v>0.82799999999999996</v>
      </c>
      <c r="G317" s="252" t="str">
        <f ca="1">IF(OR(FLSCR="ERROR",FLSPI="ERROR"),"No",IF(TODAY()-'Look Ups'!$D$4*365&gt;I317,"WP Applied","Yes"))</f>
        <v>WP Applied</v>
      </c>
      <c r="H317" s="253" t="str">
        <f t="shared" si="151"/>
        <v>Main-Genoa-Screacher-Spinnaker</v>
      </c>
      <c r="I317" s="1">
        <v>39525</v>
      </c>
      <c r="J317" s="1">
        <v>39525</v>
      </c>
      <c r="K317" s="87" t="s">
        <v>391</v>
      </c>
      <c r="L317" s="87" t="s">
        <v>671</v>
      </c>
      <c r="M317" s="207"/>
      <c r="N317" s="88" t="s">
        <v>165</v>
      </c>
      <c r="O317" s="88"/>
      <c r="P317" s="89"/>
      <c r="Q317" s="90">
        <v>15.05</v>
      </c>
      <c r="R317" s="87"/>
      <c r="S317" s="256">
        <f t="shared" si="152"/>
        <v>0.37625000000000003</v>
      </c>
      <c r="T317" s="117">
        <v>0.26</v>
      </c>
      <c r="U317" s="117">
        <v>0</v>
      </c>
      <c r="V317" s="258">
        <f t="shared" si="153"/>
        <v>14.790000000000001</v>
      </c>
      <c r="W317" s="259">
        <f>IF(RL&gt;0,IF(RL&gt;'Look Ups'!Y$7,'Look Ups'!Y$8,('Look Ups'!Y$3*RL^3+'Look Ups'!Y$4*RL^2+'Look Ups'!Y$5*RL+'Look Ups'!Y$6)),0)</f>
        <v>0.3</v>
      </c>
      <c r="X317" s="92">
        <f>7989+177</f>
        <v>8166</v>
      </c>
      <c r="Y317" s="263">
        <f ca="1">IF(WDATE&lt;(TODAY()-'Look Ups'!$D$4*365),-WM*'Look Ups'!$D$5/100,0)</f>
        <v>-1224.9000000000001</v>
      </c>
      <c r="Z317" s="103"/>
      <c r="AA317" s="109"/>
      <c r="AB317" s="109"/>
      <c r="AC317" s="265">
        <f>WCD+NC*'Look Ups'!$AF$3</f>
        <v>0</v>
      </c>
      <c r="AD317" s="265">
        <f ca="1">IF(RL&lt;'Look Ups'!AM$3,'Look Ups'!AM$4,IF(RL&gt;'Look Ups'!AM$5,'Look Ups'!AM$6,(RL-'Look Ups'!AM$3)/('Look Ups'!AM$5-'Look Ups'!AM$3)*('Look Ups'!AM$6-'Look Ups'!AM$4)+'Look Ups'!AM$4))/100*WS</f>
        <v>694.11000000000013</v>
      </c>
      <c r="AE317" s="269">
        <f t="shared" ca="1" si="154"/>
        <v>6941.1</v>
      </c>
      <c r="AF317" s="267">
        <f t="shared" ca="1" si="155"/>
        <v>6941.1</v>
      </c>
      <c r="AG317" s="94" t="s">
        <v>145</v>
      </c>
      <c r="AH317" s="95" t="s">
        <v>146</v>
      </c>
      <c r="AI317" s="96" t="s">
        <v>177</v>
      </c>
      <c r="AJ317" s="218"/>
      <c r="AK317" s="273">
        <f>IF(C317="",0,VLOOKUP(AG317,'Look Ups'!$F$3:$G$6,2,0)*VLOOKUP(AH317,'Look Ups'!$I$3:$J$5,2,0)*VLOOKUP(AI317,'Look Ups'!$L$3:$M$7,2,0)*IF(AJ317="",1,VLOOKUP(AJ317,'Look Ups'!$O$3:$P$4,2,0)))</f>
        <v>0.99</v>
      </c>
      <c r="AL317" s="83">
        <v>17.079999999999998</v>
      </c>
      <c r="AM317" s="91">
        <v>15.09</v>
      </c>
      <c r="AN317" s="91">
        <v>5</v>
      </c>
      <c r="AO317" s="91">
        <v>1.48</v>
      </c>
      <c r="AP317" s="91">
        <v>0.60000000000000009</v>
      </c>
      <c r="AQ317" s="91">
        <v>16.43</v>
      </c>
      <c r="AR317" s="91">
        <v>0.16</v>
      </c>
      <c r="AS317" s="91">
        <v>5.22</v>
      </c>
      <c r="AT317" s="91">
        <v>0.03</v>
      </c>
      <c r="AU317" s="91">
        <v>0</v>
      </c>
      <c r="AV317" s="91" t="s">
        <v>148</v>
      </c>
      <c r="AW317" s="97"/>
      <c r="AX317" s="256">
        <f t="shared" si="156"/>
        <v>16.46</v>
      </c>
      <c r="AY317" s="256">
        <f t="shared" si="157"/>
        <v>0</v>
      </c>
      <c r="AZ317" s="275">
        <f>IF(C317="",0,(0.5*(_ML1*LPM)+0.5*(_ML1*HB)+0.66*(P*PR)+0.66*(_ML2*RDM)+0.66*(E*ER))*VLOOKUP(BATT,'Look Ups'!$U$3:$V$4,2,0))</f>
        <v>63.153203999999995</v>
      </c>
      <c r="BA317" s="98"/>
      <c r="BB317" s="99"/>
      <c r="BC317" s="83">
        <v>15.29</v>
      </c>
      <c r="BD317" s="91">
        <v>6.17</v>
      </c>
      <c r="BE317" s="91">
        <v>7.07</v>
      </c>
      <c r="BF317" s="91">
        <v>0.1</v>
      </c>
      <c r="BG317" s="91">
        <v>13.22</v>
      </c>
      <c r="BH317" s="91"/>
      <c r="BI317" s="91"/>
      <c r="BJ317" s="91">
        <v>-0.23</v>
      </c>
      <c r="BK317" s="91">
        <v>0.05</v>
      </c>
      <c r="BL317" s="97"/>
      <c r="BM317" s="275">
        <f t="shared" si="158"/>
        <v>46.134043999999996</v>
      </c>
      <c r="BN317" s="319"/>
      <c r="BO317" s="320"/>
      <c r="BP317" s="321"/>
      <c r="BQ317" s="321"/>
      <c r="BR317" s="320"/>
      <c r="BS317" s="321"/>
      <c r="BT317" s="321"/>
      <c r="BU317" s="280">
        <f t="shared" si="159"/>
        <v>0</v>
      </c>
      <c r="BV317" s="322"/>
      <c r="BW317" s="320"/>
      <c r="BX317" s="320"/>
      <c r="BY317" s="320"/>
      <c r="BZ317" s="320"/>
      <c r="CA317" s="320"/>
      <c r="CB317" s="320"/>
      <c r="CC317" s="275">
        <f t="shared" si="160"/>
        <v>0</v>
      </c>
      <c r="CD317" s="98">
        <v>11</v>
      </c>
      <c r="CE317" s="91">
        <v>17.03</v>
      </c>
      <c r="CF317" s="91">
        <v>15.34</v>
      </c>
      <c r="CG317" s="91">
        <v>9.4</v>
      </c>
      <c r="CH317" s="266">
        <f t="shared" si="161"/>
        <v>85.454545454545467</v>
      </c>
      <c r="CI317" s="320"/>
      <c r="CJ317" s="280">
        <f t="shared" si="162"/>
        <v>131.09850000000003</v>
      </c>
      <c r="CK317" s="83">
        <v>9.02</v>
      </c>
      <c r="CL317" s="91">
        <v>16.09</v>
      </c>
      <c r="CM317" s="91">
        <v>13.26</v>
      </c>
      <c r="CN317" s="91">
        <v>4.7</v>
      </c>
      <c r="CO317" s="256">
        <f t="shared" si="163"/>
        <v>52.106430155210646</v>
      </c>
      <c r="CP317" s="320"/>
      <c r="CQ317" s="256">
        <f t="shared" si="164"/>
        <v>68.043083333333342</v>
      </c>
      <c r="CR317" s="256" t="str">
        <f>IF(CO317&lt;'Look Ups'!$AC$4,"Yes","No")</f>
        <v>No</v>
      </c>
      <c r="CS317" s="293">
        <f>IF(CR317="Yes",MIN(150,('Look Ups'!$AC$4-PSCR)/('Look Ups'!$AC$4-'Look Ups'!$AC$3)*100),0)</f>
        <v>0</v>
      </c>
      <c r="CT317" s="83"/>
      <c r="CU317" s="91"/>
      <c r="CV317" s="91"/>
      <c r="CW317" s="91"/>
      <c r="CX317" s="256" t="str">
        <f t="shared" si="165"/>
        <v/>
      </c>
      <c r="CY317" s="293">
        <f>IF(PUSCR&lt;'Look Ups'!$AC$4,MIN(150,('Look Ups'!$AC$4-PUSCR)/('Look Ups'!$AC$4-'Look Ups'!$AC$3)*100),0)</f>
        <v>0</v>
      </c>
      <c r="CZ317" s="275">
        <f>IF(PUSCR&lt;'Look Ups'!$AC$4,USCRF*(USCRL1+USCRL2)/4+(USCRMG-USCRF/2)*(USCRL1+USCRL2)/3,0)</f>
        <v>0</v>
      </c>
      <c r="DA317" s="294">
        <f t="shared" si="166"/>
        <v>1</v>
      </c>
      <c r="DB317" s="256">
        <f t="shared" si="167"/>
        <v>63.153204000000002</v>
      </c>
      <c r="DC317" s="256">
        <f t="shared" si="168"/>
        <v>1</v>
      </c>
      <c r="DD317" s="256">
        <f t="shared" si="169"/>
        <v>46.134043999999996</v>
      </c>
      <c r="DE317" s="256">
        <f>IF(AZ317&gt;0,'Look Ups'!$S$3,0)</f>
        <v>1</v>
      </c>
      <c r="DF317" s="256">
        <f t="shared" si="170"/>
        <v>0</v>
      </c>
      <c r="DG317" s="256">
        <f t="shared" si="171"/>
        <v>0</v>
      </c>
      <c r="DH317" s="256">
        <f t="shared" si="172"/>
        <v>0</v>
      </c>
      <c r="DI317" s="280">
        <f t="shared" si="173"/>
        <v>0</v>
      </c>
      <c r="DJ317" s="295" t="str">
        <f t="shared" si="174"/>
        <v>valid</v>
      </c>
      <c r="DK317" s="266" t="str">
        <f t="shared" si="175"/>
        <v>valid</v>
      </c>
      <c r="DL317" s="267" t="str">
        <f t="shared" si="176"/>
        <v>MGScrSP</v>
      </c>
      <c r="DM317" s="294">
        <f t="shared" si="177"/>
        <v>109.28724800000001</v>
      </c>
      <c r="DN317" s="256">
        <f>IF(MSASP&gt;0,'Look Ups'!$AI$4*(ZVAL*MSASP-RSAG),0)</f>
        <v>25.489336800000011</v>
      </c>
      <c r="DO317" s="256">
        <f>IF(AND(MSASC&gt;0,(MSASC&gt;=0.36*RSAM)),('Look Ups'!$AI$3*(ZVAL*MSASC-RSAG)),(0))</f>
        <v>7.6681637666666704</v>
      </c>
      <c r="DP317" s="256">
        <f>IF(MSASP&gt;0,'Look Ups'!$AI$5*(ZVAL*MSASP-RSAG),0)</f>
        <v>23.790047680000015</v>
      </c>
      <c r="DQ317" s="256">
        <f>IF(MSASC&gt;0,'Look Ups'!$AI$6*(MSASC-RSAG),0)</f>
        <v>1.5336327533333345</v>
      </c>
      <c r="DR317" s="280">
        <f>'Look Ups'!$AI$7*MAX(IF(MSAUSC&gt;0,EUSC/100*(MSAUSC-RSAG),0),IF(CR317="Yes",ELSC/100*(MSASC-RSAG),0))</f>
        <v>0</v>
      </c>
      <c r="DS317" s="280">
        <f t="shared" si="178"/>
        <v>22.735153440000001</v>
      </c>
      <c r="DT317" s="296">
        <f t="shared" si="179"/>
        <v>134.61092843333336</v>
      </c>
      <c r="DU317" s="14"/>
    </row>
    <row r="318" spans="1:125" ht="15.6" customHeight="1" x14ac:dyDescent="0.3">
      <c r="A318" s="4"/>
      <c r="B318" s="365"/>
      <c r="C318" s="369" t="s">
        <v>1046</v>
      </c>
      <c r="D318" s="370" t="s">
        <v>542</v>
      </c>
      <c r="E318" s="371" t="s">
        <v>1047</v>
      </c>
      <c r="F318" s="252">
        <f t="shared" ca="1" si="150"/>
        <v>1.0509999999999999</v>
      </c>
      <c r="G318" s="252" t="str">
        <f ca="1">IF(OR(FLSCR="ERROR",FLSPI="ERROR"),"No",IF(TODAY()-'Look Ups'!$D$4*365&gt;I318,"WP Applied","Yes"))</f>
        <v>WP Applied</v>
      </c>
      <c r="H318" s="253" t="str">
        <f t="shared" si="151"/>
        <v>Main-Genoa-Spinnaker</v>
      </c>
      <c r="I318" s="1">
        <v>38723</v>
      </c>
      <c r="J318" s="1">
        <v>40504</v>
      </c>
      <c r="K318" s="87" t="s">
        <v>1048</v>
      </c>
      <c r="L318" s="87" t="s">
        <v>192</v>
      </c>
      <c r="M318" s="207"/>
      <c r="N318" s="88" t="s">
        <v>318</v>
      </c>
      <c r="O318" s="88"/>
      <c r="P318" s="89"/>
      <c r="Q318" s="90">
        <v>9.67</v>
      </c>
      <c r="R318" s="87"/>
      <c r="S318" s="256">
        <f t="shared" si="152"/>
        <v>0.24175000000000002</v>
      </c>
      <c r="T318" s="117">
        <v>0.12</v>
      </c>
      <c r="U318" s="117">
        <v>0</v>
      </c>
      <c r="V318" s="258">
        <f t="shared" si="153"/>
        <v>9.5500000000000007</v>
      </c>
      <c r="W318" s="259">
        <f>IF(RL&gt;0,IF(RL&gt;'Look Ups'!Y$7,'Look Ups'!Y$8,('Look Ups'!Y$3*RL^3+'Look Ups'!Y$4*RL^2+'Look Ups'!Y$5*RL+'Look Ups'!Y$6)),0)</f>
        <v>0.297783967875</v>
      </c>
      <c r="X318" s="92">
        <v>1757</v>
      </c>
      <c r="Y318" s="263">
        <f ca="1">IF(WDATE&lt;(TODAY()-'Look Ups'!$D$4*365),-WM*'Look Ups'!$D$5/100,0)</f>
        <v>-263.55</v>
      </c>
      <c r="Z318" s="103"/>
      <c r="AA318" s="109"/>
      <c r="AB318" s="109"/>
      <c r="AC318" s="265">
        <f>WCD+NC*'Look Ups'!$AF$3</f>
        <v>0</v>
      </c>
      <c r="AD318" s="265">
        <f ca="1">IF(RL&lt;'Look Ups'!AM$3,'Look Ups'!AM$4,IF(RL&gt;'Look Ups'!AM$5,'Look Ups'!AM$6,(RL-'Look Ups'!AM$3)/('Look Ups'!AM$5-'Look Ups'!AM$3)*('Look Ups'!AM$6-'Look Ups'!AM$4)+'Look Ups'!AM$4))/100*WS</f>
        <v>293.25927272727267</v>
      </c>
      <c r="AE318" s="269">
        <f t="shared" ca="1" si="154"/>
        <v>1493.45</v>
      </c>
      <c r="AF318" s="267">
        <f t="shared" ca="1" si="155"/>
        <v>1493.45</v>
      </c>
      <c r="AG318" s="94" t="s">
        <v>145</v>
      </c>
      <c r="AH318" s="95" t="s">
        <v>146</v>
      </c>
      <c r="AI318" s="96" t="s">
        <v>147</v>
      </c>
      <c r="AJ318" s="218"/>
      <c r="AK318" s="273">
        <f>IF(C318="",0,VLOOKUP(AG318,'Look Ups'!$F$3:$G$6,2,0)*VLOOKUP(AH318,'Look Ups'!$I$3:$J$5,2,0)*VLOOKUP(AI318,'Look Ups'!$L$3:$M$7,2,0)*IF(AJ318="",1,VLOOKUP(AJ318,'Look Ups'!$O$3:$P$4,2,0)))</f>
        <v>1</v>
      </c>
      <c r="AL318" s="83">
        <v>13.46</v>
      </c>
      <c r="AM318" s="91">
        <v>13.24</v>
      </c>
      <c r="AN318" s="91">
        <v>4.05</v>
      </c>
      <c r="AO318" s="91">
        <v>1.6800000000000002</v>
      </c>
      <c r="AP318" s="91">
        <v>0.32500000000000001</v>
      </c>
      <c r="AQ318" s="91">
        <v>13.66</v>
      </c>
      <c r="AR318" s="91">
        <v>0.14000000000000001</v>
      </c>
      <c r="AS318" s="91">
        <v>4.09</v>
      </c>
      <c r="AT318" s="91">
        <v>0.03</v>
      </c>
      <c r="AU318" s="91">
        <v>0.51</v>
      </c>
      <c r="AV318" s="91" t="s">
        <v>148</v>
      </c>
      <c r="AW318" s="97">
        <v>0</v>
      </c>
      <c r="AX318" s="256">
        <f t="shared" si="156"/>
        <v>13.69</v>
      </c>
      <c r="AY318" s="256">
        <f t="shared" si="157"/>
        <v>2.6124750000000003</v>
      </c>
      <c r="AZ318" s="275">
        <f>IF(C318="",0,(0.5*(_ML1*LPM)+0.5*(_ML1*HB)+0.66*(P*PR)+0.66*(_ML2*RDM)+0.66*(E*ER))*VLOOKUP(BATT,'Look Ups'!$U$3:$V$4,2,0))</f>
        <v>42.746045999999993</v>
      </c>
      <c r="BA318" s="98"/>
      <c r="BB318" s="99"/>
      <c r="BC318" s="83">
        <v>12.3</v>
      </c>
      <c r="BD318" s="91">
        <v>3.24</v>
      </c>
      <c r="BE318" s="91">
        <v>3.53</v>
      </c>
      <c r="BF318" s="91">
        <v>0.13</v>
      </c>
      <c r="BG318" s="91">
        <v>11.37</v>
      </c>
      <c r="BH318" s="91"/>
      <c r="BI318" s="91"/>
      <c r="BJ318" s="91">
        <v>0.14499999999999999</v>
      </c>
      <c r="BK318" s="91">
        <v>0</v>
      </c>
      <c r="BL318" s="97">
        <v>0</v>
      </c>
      <c r="BM318" s="275">
        <f t="shared" si="158"/>
        <v>21.316983</v>
      </c>
      <c r="BN318" s="319"/>
      <c r="BO318" s="320"/>
      <c r="BP318" s="321"/>
      <c r="BQ318" s="321"/>
      <c r="BR318" s="320"/>
      <c r="BS318" s="321"/>
      <c r="BT318" s="321"/>
      <c r="BU318" s="280">
        <f t="shared" si="159"/>
        <v>0</v>
      </c>
      <c r="BV318" s="322"/>
      <c r="BW318" s="320"/>
      <c r="BX318" s="320"/>
      <c r="BY318" s="320"/>
      <c r="BZ318" s="320"/>
      <c r="CA318" s="320"/>
      <c r="CB318" s="320"/>
      <c r="CC318" s="275">
        <f t="shared" si="160"/>
        <v>0</v>
      </c>
      <c r="CD318" s="98">
        <v>9.35</v>
      </c>
      <c r="CE318" s="91">
        <v>17.05</v>
      </c>
      <c r="CF318" s="91">
        <v>14.66</v>
      </c>
      <c r="CG318" s="91">
        <v>8.9</v>
      </c>
      <c r="CH318" s="266">
        <f t="shared" si="161"/>
        <v>95.18716577540107</v>
      </c>
      <c r="CI318" s="320"/>
      <c r="CJ318" s="280">
        <f t="shared" si="162"/>
        <v>118.78037500000001</v>
      </c>
      <c r="CK318" s="83"/>
      <c r="CL318" s="91"/>
      <c r="CM318" s="91"/>
      <c r="CN318" s="91"/>
      <c r="CO318" s="256" t="str">
        <f t="shared" si="163"/>
        <v/>
      </c>
      <c r="CP318" s="320"/>
      <c r="CQ318" s="256">
        <f t="shared" si="164"/>
        <v>0</v>
      </c>
      <c r="CR318" s="256" t="str">
        <f>IF(CO318&lt;'Look Ups'!$AC$4,"Yes","No")</f>
        <v>No</v>
      </c>
      <c r="CS318" s="293">
        <f>IF(CR318="Yes",MIN(150,('Look Ups'!$AC$4-PSCR)/('Look Ups'!$AC$4-'Look Ups'!$AC$3)*100),0)</f>
        <v>0</v>
      </c>
      <c r="CT318" s="83"/>
      <c r="CU318" s="91"/>
      <c r="CV318" s="91"/>
      <c r="CW318" s="91"/>
      <c r="CX318" s="256" t="str">
        <f t="shared" si="165"/>
        <v/>
      </c>
      <c r="CY318" s="293">
        <f>IF(PUSCR&lt;'Look Ups'!$AC$4,MIN(150,('Look Ups'!$AC$4-PUSCR)/('Look Ups'!$AC$4-'Look Ups'!$AC$3)*100),0)</f>
        <v>0</v>
      </c>
      <c r="CZ318" s="275">
        <f>IF(PUSCR&lt;'Look Ups'!$AC$4,USCRF*(USCRL1+USCRL2)/4+(USCRMG-USCRF/2)*(USCRL1+USCRL2)/3,0)</f>
        <v>0</v>
      </c>
      <c r="DA318" s="294">
        <f t="shared" si="166"/>
        <v>1</v>
      </c>
      <c r="DB318" s="256">
        <f t="shared" si="167"/>
        <v>45.358520999999996</v>
      </c>
      <c r="DC318" s="256">
        <f t="shared" si="168"/>
        <v>1</v>
      </c>
      <c r="DD318" s="256">
        <f t="shared" si="169"/>
        <v>21.316983</v>
      </c>
      <c r="DE318" s="256">
        <f>IF(AZ318&gt;0,'Look Ups'!$S$3,0)</f>
        <v>1</v>
      </c>
      <c r="DF318" s="256">
        <f t="shared" si="170"/>
        <v>0</v>
      </c>
      <c r="DG318" s="256">
        <f t="shared" si="171"/>
        <v>0</v>
      </c>
      <c r="DH318" s="256">
        <f t="shared" si="172"/>
        <v>0</v>
      </c>
      <c r="DI318" s="280">
        <f t="shared" si="173"/>
        <v>0</v>
      </c>
      <c r="DJ318" s="295" t="str">
        <f t="shared" si="174"/>
        <v>-</v>
      </c>
      <c r="DK318" s="266" t="str">
        <f t="shared" si="175"/>
        <v>valid</v>
      </c>
      <c r="DL318" s="267" t="str">
        <f t="shared" si="176"/>
        <v>MGSP</v>
      </c>
      <c r="DM318" s="294">
        <f t="shared" si="177"/>
        <v>66.675503999999989</v>
      </c>
      <c r="DN318" s="256">
        <f>IF(MSASP&gt;0,'Look Ups'!$AI$4*(ZVAL*MSASP-RSAG),0)</f>
        <v>29.239017599999997</v>
      </c>
      <c r="DO318" s="256">
        <f>IF(AND(MSASC&gt;0,(MSASC&gt;=0.36*RSAM)),('Look Ups'!$AI$3*(ZVAL*MSASC-RSAG)),(0))</f>
        <v>0</v>
      </c>
      <c r="DP318" s="256">
        <f>IF(MSASP&gt;0,'Look Ups'!$AI$5*(ZVAL*MSASP-RSAG),0)</f>
        <v>27.289749760000003</v>
      </c>
      <c r="DQ318" s="256">
        <f>IF(MSASC&gt;0,'Look Ups'!$AI$6*(MSASC-RSAG),0)</f>
        <v>0</v>
      </c>
      <c r="DR318" s="280">
        <f>'Look Ups'!$AI$7*MAX(IF(MSAUSC&gt;0,EUSC/100*(MSAUSC-RSAG),0),IF(CR318="Yes",ELSC/100*(MSASC-RSAG),0))</f>
        <v>0</v>
      </c>
      <c r="DS318" s="280">
        <f t="shared" si="178"/>
        <v>16.329067559999999</v>
      </c>
      <c r="DT318" s="296">
        <f t="shared" si="179"/>
        <v>95.914521599999986</v>
      </c>
      <c r="DU318" s="14"/>
    </row>
    <row r="319" spans="1:125" ht="15.6" customHeight="1" x14ac:dyDescent="0.3">
      <c r="A319" s="4"/>
      <c r="B319" s="365"/>
      <c r="C319" s="369" t="s">
        <v>1049</v>
      </c>
      <c r="D319" s="370" t="s">
        <v>1050</v>
      </c>
      <c r="E319" s="371" t="s">
        <v>706</v>
      </c>
      <c r="F319" s="252">
        <f t="shared" ca="1" si="150"/>
        <v>0.83199999999999996</v>
      </c>
      <c r="G319" s="252" t="str">
        <f ca="1">IF(OR(FLSCR="ERROR",FLSPI="ERROR"),"No",IF(TODAY()-'Look Ups'!$D$4*365&gt;I319,"WP Applied","Yes"))</f>
        <v>WP Applied</v>
      </c>
      <c r="H319" s="253" t="str">
        <f t="shared" si="151"/>
        <v>Main-Genoa-Screacher (Upwind)-Spinnaker</v>
      </c>
      <c r="I319" s="1">
        <v>38983</v>
      </c>
      <c r="J319" s="1">
        <v>39353</v>
      </c>
      <c r="K319" s="87" t="s">
        <v>244</v>
      </c>
      <c r="L319" s="87" t="s">
        <v>589</v>
      </c>
      <c r="M319" s="207"/>
      <c r="N319" s="88" t="s">
        <v>143</v>
      </c>
      <c r="O319" s="88" t="s">
        <v>144</v>
      </c>
      <c r="P319" s="89"/>
      <c r="Q319" s="90">
        <v>7.74</v>
      </c>
      <c r="R319" s="87"/>
      <c r="S319" s="256">
        <f t="shared" si="152"/>
        <v>0.19350000000000001</v>
      </c>
      <c r="T319" s="117">
        <v>0.14000000000000001</v>
      </c>
      <c r="U319" s="117">
        <v>0</v>
      </c>
      <c r="V319" s="258">
        <f t="shared" si="153"/>
        <v>7.6000000000000005</v>
      </c>
      <c r="W319" s="259">
        <f>IF(RL&gt;0,IF(RL&gt;'Look Ups'!Y$7,'Look Ups'!Y$8,('Look Ups'!Y$3*RL^3+'Look Ups'!Y$4*RL^2+'Look Ups'!Y$5*RL+'Look Ups'!Y$6)),0)</f>
        <v>0.29232220800000003</v>
      </c>
      <c r="X319" s="92">
        <v>1270</v>
      </c>
      <c r="Y319" s="263">
        <f ca="1">IF(WDATE&lt;(TODAY()-'Look Ups'!$D$4*365),-WM*'Look Ups'!$D$5/100,0)</f>
        <v>-190.5</v>
      </c>
      <c r="Z319" s="103"/>
      <c r="AA319" s="109"/>
      <c r="AB319" s="109"/>
      <c r="AC319" s="265">
        <f>WCD+NC*'Look Ups'!$AF$3</f>
        <v>0</v>
      </c>
      <c r="AD319" s="265">
        <f ca="1">IF(RL&lt;'Look Ups'!AM$3,'Look Ups'!AM$4,IF(RL&gt;'Look Ups'!AM$5,'Look Ups'!AM$6,(RL-'Look Ups'!AM$3)/('Look Ups'!AM$5-'Look Ups'!AM$3)*('Look Ups'!AM$6-'Look Ups'!AM$4)+'Look Ups'!AM$4))/100*WS</f>
        <v>288.52090909090907</v>
      </c>
      <c r="AE319" s="269">
        <f t="shared" ca="1" si="154"/>
        <v>1079.5</v>
      </c>
      <c r="AF319" s="267">
        <f t="shared" ca="1" si="155"/>
        <v>1079.5</v>
      </c>
      <c r="AG319" s="94" t="s">
        <v>155</v>
      </c>
      <c r="AH319" s="95" t="s">
        <v>146</v>
      </c>
      <c r="AI319" s="96" t="s">
        <v>147</v>
      </c>
      <c r="AJ319" s="218"/>
      <c r="AK319" s="273">
        <f>IF(C319="",0,VLOOKUP(AG319,'Look Ups'!$F$3:$G$6,2,0)*VLOOKUP(AH319,'Look Ups'!$I$3:$J$5,2,0)*VLOOKUP(AI319,'Look Ups'!$L$3:$M$7,2,0)*IF(AJ319="",1,VLOOKUP(AJ319,'Look Ups'!$O$3:$P$4,2,0)))</f>
        <v>0.99</v>
      </c>
      <c r="AL319" s="83">
        <v>9.7799999999999994</v>
      </c>
      <c r="AM319" s="91">
        <v>9.49</v>
      </c>
      <c r="AN319" s="91">
        <v>3.04</v>
      </c>
      <c r="AO319" s="91">
        <v>0.92500000000000004</v>
      </c>
      <c r="AP319" s="91">
        <v>0.57999999999999996</v>
      </c>
      <c r="AQ319" s="91">
        <v>9.42</v>
      </c>
      <c r="AR319" s="91">
        <v>0.08</v>
      </c>
      <c r="AS319" s="91">
        <v>3.15</v>
      </c>
      <c r="AT319" s="91">
        <v>2.5000000000000001E-2</v>
      </c>
      <c r="AU319" s="91">
        <v>0.47</v>
      </c>
      <c r="AV319" s="91" t="s">
        <v>148</v>
      </c>
      <c r="AW319" s="97"/>
      <c r="AX319" s="256">
        <f t="shared" si="156"/>
        <v>9.4450000000000003</v>
      </c>
      <c r="AY319" s="256">
        <f t="shared" si="157"/>
        <v>1.6602749999999997</v>
      </c>
      <c r="AZ319" s="275">
        <f>IF(C319="",0,(0.5*(_ML1*LPM)+0.5*(_ML1*HB)+0.66*(P*PR)+0.66*(_ML2*RDM)+0.66*(E*ER))*VLOOKUP(BATT,'Look Ups'!$U$3:$V$4,2,0))</f>
        <v>23.570972999999995</v>
      </c>
      <c r="BA319" s="98"/>
      <c r="BB319" s="99"/>
      <c r="BC319" s="83">
        <v>8.85</v>
      </c>
      <c r="BD319" s="91">
        <v>2.6</v>
      </c>
      <c r="BE319" s="91">
        <v>3.05</v>
      </c>
      <c r="BF319" s="91">
        <v>0.12</v>
      </c>
      <c r="BG319" s="91">
        <v>7.77</v>
      </c>
      <c r="BH319" s="91"/>
      <c r="BI319" s="91"/>
      <c r="BJ319" s="91">
        <v>0.13</v>
      </c>
      <c r="BK319" s="91">
        <v>0</v>
      </c>
      <c r="BL319" s="97">
        <v>0</v>
      </c>
      <c r="BM319" s="275">
        <f t="shared" si="158"/>
        <v>12.413226</v>
      </c>
      <c r="BN319" s="319"/>
      <c r="BO319" s="320"/>
      <c r="BP319" s="321"/>
      <c r="BQ319" s="321"/>
      <c r="BR319" s="320"/>
      <c r="BS319" s="321"/>
      <c r="BT319" s="321"/>
      <c r="BU319" s="280">
        <f t="shared" si="159"/>
        <v>0</v>
      </c>
      <c r="BV319" s="322"/>
      <c r="BW319" s="320"/>
      <c r="BX319" s="320"/>
      <c r="BY319" s="320"/>
      <c r="BZ319" s="320"/>
      <c r="CA319" s="320"/>
      <c r="CB319" s="320"/>
      <c r="CC319" s="275">
        <f t="shared" si="160"/>
        <v>0</v>
      </c>
      <c r="CD319" s="98">
        <v>6.59</v>
      </c>
      <c r="CE319" s="91">
        <v>11.68</v>
      </c>
      <c r="CF319" s="91">
        <v>10.52</v>
      </c>
      <c r="CG319" s="91">
        <v>5.8</v>
      </c>
      <c r="CH319" s="266">
        <f t="shared" si="161"/>
        <v>88.012139605462821</v>
      </c>
      <c r="CI319" s="320"/>
      <c r="CJ319" s="280">
        <f t="shared" si="162"/>
        <v>55.111499999999999</v>
      </c>
      <c r="CK319" s="83">
        <v>5.99</v>
      </c>
      <c r="CL319" s="91">
        <v>9.89</v>
      </c>
      <c r="CM319" s="91">
        <v>8.82</v>
      </c>
      <c r="CN319" s="91">
        <v>3.06</v>
      </c>
      <c r="CO319" s="256">
        <f t="shared" si="163"/>
        <v>51.085141903171952</v>
      </c>
      <c r="CP319" s="320"/>
      <c r="CQ319" s="256">
        <f t="shared" si="164"/>
        <v>28.423608333333334</v>
      </c>
      <c r="CR319" s="256" t="str">
        <f>IF(CO319&lt;'Look Ups'!$AC$4,"Yes","No")</f>
        <v>Yes</v>
      </c>
      <c r="CS319" s="293">
        <f>IF(CR319="Yes",MIN(150,('Look Ups'!$AC$4-PSCR)/('Look Ups'!$AC$4-'Look Ups'!$AC$3)*100),0)</f>
        <v>18.297161936560968</v>
      </c>
      <c r="CT319" s="83"/>
      <c r="CU319" s="91"/>
      <c r="CV319" s="91"/>
      <c r="CW319" s="91"/>
      <c r="CX319" s="256" t="str">
        <f t="shared" si="165"/>
        <v/>
      </c>
      <c r="CY319" s="293">
        <f>IF(PUSCR&lt;'Look Ups'!$AC$4,MIN(150,('Look Ups'!$AC$4-PUSCR)/('Look Ups'!$AC$4-'Look Ups'!$AC$3)*100),0)</f>
        <v>0</v>
      </c>
      <c r="CZ319" s="275">
        <f>IF(PUSCR&lt;'Look Ups'!$AC$4,USCRF*(USCRL1+USCRL2)/4+(USCRMG-USCRF/2)*(USCRL1+USCRL2)/3,0)</f>
        <v>0</v>
      </c>
      <c r="DA319" s="294">
        <f t="shared" si="166"/>
        <v>1</v>
      </c>
      <c r="DB319" s="256">
        <f t="shared" si="167"/>
        <v>25.231247999999994</v>
      </c>
      <c r="DC319" s="256">
        <f t="shared" si="168"/>
        <v>1</v>
      </c>
      <c r="DD319" s="256">
        <f t="shared" si="169"/>
        <v>12.413226</v>
      </c>
      <c r="DE319" s="256">
        <f>IF(AZ319&gt;0,'Look Ups'!$S$3,0)</f>
        <v>1</v>
      </c>
      <c r="DF319" s="256">
        <f t="shared" si="170"/>
        <v>0</v>
      </c>
      <c r="DG319" s="256">
        <f t="shared" si="171"/>
        <v>0</v>
      </c>
      <c r="DH319" s="256">
        <f t="shared" si="172"/>
        <v>0</v>
      </c>
      <c r="DI319" s="280">
        <f t="shared" si="173"/>
        <v>0</v>
      </c>
      <c r="DJ319" s="295" t="str">
        <f t="shared" si="174"/>
        <v>valid</v>
      </c>
      <c r="DK319" s="266" t="str">
        <f t="shared" si="175"/>
        <v>valid</v>
      </c>
      <c r="DL319" s="267" t="str">
        <f t="shared" si="176"/>
        <v>MGScrSP</v>
      </c>
      <c r="DM319" s="294">
        <f t="shared" si="177"/>
        <v>37.644473999999995</v>
      </c>
      <c r="DN319" s="256">
        <f>IF(MSASP&gt;0,'Look Ups'!$AI$4*(ZVAL*MSASP-RSAG),0)</f>
        <v>12.8094822</v>
      </c>
      <c r="DO319" s="256">
        <f>IF(AND(MSASC&gt;0,(MSASC&gt;=0.36*RSAM)),('Look Ups'!$AI$3*(ZVAL*MSASC-RSAG)),(0))</f>
        <v>5.6036338166666662</v>
      </c>
      <c r="DP319" s="256">
        <f>IF(MSASP&gt;0,'Look Ups'!$AI$5*(ZVAL*MSASP-RSAG),0)</f>
        <v>11.95551672</v>
      </c>
      <c r="DQ319" s="256">
        <f>IF(MSASC&gt;0,'Look Ups'!$AI$6*(MSASC-RSAG),0)</f>
        <v>1.1207267633333333</v>
      </c>
      <c r="DR319" s="280">
        <f>'Look Ups'!$AI$7*MAX(IF(MSAUSC&gt;0,EUSC/100*(MSAUSC-RSAG),0),IF(CR319="Yes",ELSC/100*(MSASC-RSAG),0))</f>
        <v>0.73236139554813706</v>
      </c>
      <c r="DS319" s="280">
        <f t="shared" si="178"/>
        <v>9.0832492799999969</v>
      </c>
      <c r="DT319" s="296">
        <f t="shared" si="179"/>
        <v>51.453078878881463</v>
      </c>
      <c r="DU319" s="14"/>
    </row>
    <row r="320" spans="1:125" ht="15.6" customHeight="1" x14ac:dyDescent="0.3">
      <c r="A320" s="4"/>
      <c r="B320" s="365"/>
      <c r="C320" s="369" t="s">
        <v>1051</v>
      </c>
      <c r="D320" s="370" t="s">
        <v>311</v>
      </c>
      <c r="E320" s="371" t="s">
        <v>1052</v>
      </c>
      <c r="F320" s="252">
        <f t="shared" ca="1" si="150"/>
        <v>0.80200000000000005</v>
      </c>
      <c r="G320" s="252" t="str">
        <f ca="1">IF(OR(FLSCR="ERROR",FLSPI="ERROR"),"No",IF(TODAY()-'Look Ups'!$D$4*365&gt;I320,"WP Applied","Yes"))</f>
        <v>WP Applied</v>
      </c>
      <c r="H320" s="253" t="str">
        <f t="shared" si="151"/>
        <v>Main-Genoa-Screacher</v>
      </c>
      <c r="I320" s="1">
        <v>39569</v>
      </c>
      <c r="J320" s="1"/>
      <c r="K320" s="87" t="s">
        <v>313</v>
      </c>
      <c r="L320" s="87"/>
      <c r="M320" s="207"/>
      <c r="N320" s="88" t="s">
        <v>271</v>
      </c>
      <c r="O320" s="88"/>
      <c r="P320" s="89">
        <v>6.88</v>
      </c>
      <c r="Q320" s="90">
        <v>9.5</v>
      </c>
      <c r="R320" s="87"/>
      <c r="S320" s="256">
        <f t="shared" si="152"/>
        <v>0.23750000000000002</v>
      </c>
      <c r="T320" s="117">
        <v>0.09</v>
      </c>
      <c r="U320" s="117">
        <v>0</v>
      </c>
      <c r="V320" s="258">
        <f t="shared" si="153"/>
        <v>9.41</v>
      </c>
      <c r="W320" s="259">
        <f>IF(RL&gt;0,IF(RL&gt;'Look Ups'!Y$7,'Look Ups'!Y$8,('Look Ups'!Y$3*RL^3+'Look Ups'!Y$4*RL^2+'Look Ups'!Y$5*RL+'Look Ups'!Y$6)),0)</f>
        <v>0.29752450149300003</v>
      </c>
      <c r="X320" s="92">
        <v>2350</v>
      </c>
      <c r="Y320" s="263">
        <f ca="1">IF(WDATE&lt;(TODAY()-'Look Ups'!$D$4*365),-WM*'Look Ups'!$D$5/100,0)</f>
        <v>-352.5</v>
      </c>
      <c r="Z320" s="103"/>
      <c r="AA320" s="109"/>
      <c r="AB320" s="109"/>
      <c r="AC320" s="265">
        <f>WCD+NC*'Look Ups'!$AF$3</f>
        <v>0</v>
      </c>
      <c r="AD320" s="265">
        <f ca="1">IF(RL&lt;'Look Ups'!AM$3,'Look Ups'!AM$4,IF(RL&gt;'Look Ups'!AM$5,'Look Ups'!AM$6,(RL-'Look Ups'!AM$3)/('Look Ups'!AM$5-'Look Ups'!AM$3)*('Look Ups'!AM$6-'Look Ups'!AM$4)+'Look Ups'!AM$4))/100*WS</f>
        <v>402.40545454545452</v>
      </c>
      <c r="AE320" s="269">
        <f t="shared" ca="1" si="154"/>
        <v>1997.5</v>
      </c>
      <c r="AF320" s="267">
        <f t="shared" ca="1" si="155"/>
        <v>1997.5</v>
      </c>
      <c r="AG320" s="94" t="s">
        <v>145</v>
      </c>
      <c r="AH320" s="95" t="s">
        <v>146</v>
      </c>
      <c r="AI320" s="96" t="s">
        <v>147</v>
      </c>
      <c r="AJ320" s="218"/>
      <c r="AK320" s="273">
        <f>IF(C320="",0,VLOOKUP(AG320,'Look Ups'!$F$3:$G$6,2,0)*VLOOKUP(AH320,'Look Ups'!$I$3:$J$5,2,0)*VLOOKUP(AI320,'Look Ups'!$L$3:$M$7,2,0)*IF(AJ320="",1,VLOOKUP(AJ320,'Look Ups'!$O$3:$P$4,2,0)))</f>
        <v>1</v>
      </c>
      <c r="AL320" s="83">
        <v>11.8</v>
      </c>
      <c r="AM320" s="91">
        <v>11.53</v>
      </c>
      <c r="AN320" s="91">
        <v>4</v>
      </c>
      <c r="AO320" s="91">
        <v>1.02</v>
      </c>
      <c r="AP320" s="91">
        <v>0.67</v>
      </c>
      <c r="AQ320" s="91">
        <v>11.04</v>
      </c>
      <c r="AR320" s="91">
        <v>0.09</v>
      </c>
      <c r="AS320" s="91">
        <v>4.2699999999999996</v>
      </c>
      <c r="AT320" s="91">
        <v>0</v>
      </c>
      <c r="AU320" s="91">
        <v>0</v>
      </c>
      <c r="AV320" s="91" t="s">
        <v>148</v>
      </c>
      <c r="AW320" s="97">
        <v>0</v>
      </c>
      <c r="AX320" s="256">
        <f t="shared" si="156"/>
        <v>11.04</v>
      </c>
      <c r="AY320" s="256">
        <f t="shared" si="157"/>
        <v>0</v>
      </c>
      <c r="AZ320" s="275">
        <f>IF(C320="",0,(0.5*(_ML1*LPM)+0.5*(_ML1*HB)+0.66*(P*PR)+0.66*(_ML2*RDM)+0.66*(E*ER))*VLOOKUP(BATT,'Look Ups'!$U$3:$V$4,2,0))</f>
        <v>35.372342000000003</v>
      </c>
      <c r="BA320" s="98"/>
      <c r="BB320" s="99"/>
      <c r="BC320" s="83">
        <v>10.42</v>
      </c>
      <c r="BD320" s="91">
        <v>3.49</v>
      </c>
      <c r="BE320" s="91">
        <v>3.76</v>
      </c>
      <c r="BF320" s="91">
        <v>0.08</v>
      </c>
      <c r="BG320" s="91">
        <v>9.68</v>
      </c>
      <c r="BH320" s="91"/>
      <c r="BI320" s="91"/>
      <c r="BJ320" s="91">
        <v>0.02</v>
      </c>
      <c r="BK320" s="91">
        <v>-0.13</v>
      </c>
      <c r="BL320" s="97">
        <v>0</v>
      </c>
      <c r="BM320" s="275">
        <f t="shared" si="158"/>
        <v>17.615168000000001</v>
      </c>
      <c r="BN320" s="319"/>
      <c r="BO320" s="320"/>
      <c r="BP320" s="321"/>
      <c r="BQ320" s="321"/>
      <c r="BR320" s="320"/>
      <c r="BS320" s="321"/>
      <c r="BT320" s="321"/>
      <c r="BU320" s="280">
        <f t="shared" si="159"/>
        <v>0</v>
      </c>
      <c r="BV320" s="322"/>
      <c r="BW320" s="320"/>
      <c r="BX320" s="320"/>
      <c r="BY320" s="320"/>
      <c r="BZ320" s="320"/>
      <c r="CA320" s="320"/>
      <c r="CB320" s="320"/>
      <c r="CC320" s="275">
        <f t="shared" si="160"/>
        <v>0</v>
      </c>
      <c r="CD320" s="98"/>
      <c r="CE320" s="91"/>
      <c r="CF320" s="91"/>
      <c r="CG320" s="91"/>
      <c r="CH320" s="266" t="str">
        <f t="shared" si="161"/>
        <v/>
      </c>
      <c r="CI320" s="320"/>
      <c r="CJ320" s="280">
        <f t="shared" si="162"/>
        <v>0</v>
      </c>
      <c r="CK320" s="83">
        <v>7.53</v>
      </c>
      <c r="CL320" s="91">
        <v>11.62</v>
      </c>
      <c r="CM320" s="91">
        <v>10.23</v>
      </c>
      <c r="CN320" s="91">
        <v>4.32</v>
      </c>
      <c r="CO320" s="256">
        <f t="shared" si="163"/>
        <v>57.370517928286858</v>
      </c>
      <c r="CP320" s="320"/>
      <c r="CQ320" s="256">
        <f t="shared" si="164"/>
        <v>45.174875000000007</v>
      </c>
      <c r="CR320" s="256" t="str">
        <f>IF(CO320&lt;'Look Ups'!$AC$4,"Yes","No")</f>
        <v>No</v>
      </c>
      <c r="CS320" s="293">
        <f>IF(CR320="Yes",MIN(150,('Look Ups'!$AC$4-PSCR)/('Look Ups'!$AC$4-'Look Ups'!$AC$3)*100),0)</f>
        <v>0</v>
      </c>
      <c r="CT320" s="83"/>
      <c r="CU320" s="91"/>
      <c r="CV320" s="91"/>
      <c r="CW320" s="91"/>
      <c r="CX320" s="256" t="str">
        <f t="shared" si="165"/>
        <v/>
      </c>
      <c r="CY320" s="293">
        <f>IF(PUSCR&lt;'Look Ups'!$AC$4,MIN(150,('Look Ups'!$AC$4-PUSCR)/('Look Ups'!$AC$4-'Look Ups'!$AC$3)*100),0)</f>
        <v>0</v>
      </c>
      <c r="CZ320" s="275">
        <f>IF(PUSCR&lt;'Look Ups'!$AC$4,USCRF*(USCRL1+USCRL2)/4+(USCRMG-USCRF/2)*(USCRL1+USCRL2)/3,0)</f>
        <v>0</v>
      </c>
      <c r="DA320" s="294">
        <f t="shared" si="166"/>
        <v>1</v>
      </c>
      <c r="DB320" s="256">
        <f t="shared" si="167"/>
        <v>35.372342000000003</v>
      </c>
      <c r="DC320" s="256">
        <f t="shared" si="168"/>
        <v>1</v>
      </c>
      <c r="DD320" s="256">
        <f t="shared" si="169"/>
        <v>17.615168000000001</v>
      </c>
      <c r="DE320" s="256">
        <f>IF(AZ320&gt;0,'Look Ups'!$S$3,0)</f>
        <v>1</v>
      </c>
      <c r="DF320" s="256">
        <f t="shared" si="170"/>
        <v>0</v>
      </c>
      <c r="DG320" s="256">
        <f t="shared" si="171"/>
        <v>0</v>
      </c>
      <c r="DH320" s="256">
        <f t="shared" si="172"/>
        <v>0</v>
      </c>
      <c r="DI320" s="280">
        <f t="shared" si="173"/>
        <v>0</v>
      </c>
      <c r="DJ320" s="295" t="str">
        <f t="shared" si="174"/>
        <v>valid</v>
      </c>
      <c r="DK320" s="266" t="str">
        <f t="shared" si="175"/>
        <v>-</v>
      </c>
      <c r="DL320" s="267" t="str">
        <f t="shared" si="176"/>
        <v>MGScr</v>
      </c>
      <c r="DM320" s="294">
        <f t="shared" si="177"/>
        <v>52.98751</v>
      </c>
      <c r="DN320" s="256">
        <f>IF(MSASP&gt;0,'Look Ups'!$AI$4*(ZVAL*MSASP-RSAG),0)</f>
        <v>0</v>
      </c>
      <c r="DO320" s="256">
        <f>IF(AND(MSASC&gt;0,(MSASC&gt;=0.36*RSAM)),('Look Ups'!$AI$3*(ZVAL*MSASC-RSAG)),(0))</f>
        <v>9.6458974500000014</v>
      </c>
      <c r="DP320" s="256">
        <f>IF(MSASP&gt;0,'Look Ups'!$AI$5*(ZVAL*MSASP-RSAG),0)</f>
        <v>0</v>
      </c>
      <c r="DQ320" s="256">
        <f>IF(MSASC&gt;0,'Look Ups'!$AI$6*(MSASC-RSAG),0)</f>
        <v>1.9291794900000006</v>
      </c>
      <c r="DR320" s="280">
        <f>'Look Ups'!$AI$7*MAX(IF(MSAUSC&gt;0,EUSC/100*(MSAUSC-RSAG),0),IF(CR320="Yes",ELSC/100*(MSASC-RSAG),0))</f>
        <v>0</v>
      </c>
      <c r="DS320" s="280">
        <f t="shared" si="178"/>
        <v>12.734043120000001</v>
      </c>
      <c r="DT320" s="296">
        <f t="shared" si="179"/>
        <v>62.63340745</v>
      </c>
      <c r="DU320" s="14"/>
    </row>
    <row r="321" spans="1:125" ht="15.6" customHeight="1" x14ac:dyDescent="0.3">
      <c r="A321" s="4"/>
      <c r="B321" s="365"/>
      <c r="C321" s="369" t="s">
        <v>1053</v>
      </c>
      <c r="D321" s="370" t="s">
        <v>1054</v>
      </c>
      <c r="E321" s="371" t="s">
        <v>1055</v>
      </c>
      <c r="F321" s="252">
        <f t="shared" ca="1" si="150"/>
        <v>0.81</v>
      </c>
      <c r="G321" s="252" t="str">
        <f ca="1">IF(OR(FLSCR="ERROR",FLSPI="ERROR"),"No",IF(TODAY()-'Look Ups'!$D$4*365&gt;I321,"WP Applied","Yes"))</f>
        <v>Yes</v>
      </c>
      <c r="H321" s="253" t="str">
        <f t="shared" si="151"/>
        <v>Main-Genoa-Screacher (Upwind)</v>
      </c>
      <c r="I321" s="1">
        <v>43002</v>
      </c>
      <c r="J321" s="1">
        <v>43002</v>
      </c>
      <c r="K321" s="87" t="s">
        <v>206</v>
      </c>
      <c r="L321" s="87" t="s">
        <v>142</v>
      </c>
      <c r="M321" s="207"/>
      <c r="N321" s="88" t="s">
        <v>143</v>
      </c>
      <c r="O321" s="88"/>
      <c r="P321" s="89"/>
      <c r="Q321" s="90">
        <v>4.4000000000000004</v>
      </c>
      <c r="R321" s="87"/>
      <c r="S321" s="256">
        <f t="shared" si="152"/>
        <v>0.11000000000000001</v>
      </c>
      <c r="T321" s="117"/>
      <c r="U321" s="117"/>
      <c r="V321" s="258">
        <f t="shared" si="153"/>
        <v>4.4000000000000004</v>
      </c>
      <c r="W321" s="259">
        <f>IF(RL&gt;0,IF(RL&gt;'Look Ups'!Y$7,'Look Ups'!Y$8,('Look Ups'!Y$3*RL^3+'Look Ups'!Y$4*RL^2+'Look Ups'!Y$5*RL+'Look Ups'!Y$6)),0)</f>
        <v>0.27200707200000002</v>
      </c>
      <c r="X321" s="92">
        <v>130</v>
      </c>
      <c r="Y321" s="263">
        <f ca="1">IF(WDATE&lt;(TODAY()-'Look Ups'!$D$4*365),-WM*'Look Ups'!$D$5/100,0)</f>
        <v>0</v>
      </c>
      <c r="Z321" s="103"/>
      <c r="AA321" s="109"/>
      <c r="AB321" s="109"/>
      <c r="AC321" s="265">
        <f>WCD+NC*'Look Ups'!$AF$3</f>
        <v>0</v>
      </c>
      <c r="AD321" s="265">
        <f ca="1">IF(RL&lt;'Look Ups'!AM$3,'Look Ups'!AM$4,IF(RL&gt;'Look Ups'!AM$5,'Look Ups'!AM$6,(RL-'Look Ups'!AM$3)/('Look Ups'!AM$5-'Look Ups'!AM$3)*('Look Ups'!AM$6-'Look Ups'!AM$4)+'Look Ups'!AM$4))/100*WS</f>
        <v>39</v>
      </c>
      <c r="AE321" s="269">
        <f t="shared" ca="1" si="154"/>
        <v>130</v>
      </c>
      <c r="AF321" s="267">
        <f t="shared" ca="1" si="155"/>
        <v>130</v>
      </c>
      <c r="AG321" s="94" t="s">
        <v>145</v>
      </c>
      <c r="AH321" s="95" t="s">
        <v>146</v>
      </c>
      <c r="AI321" s="96" t="s">
        <v>147</v>
      </c>
      <c r="AJ321" s="218"/>
      <c r="AK321" s="273">
        <f>IF(C321="",0,VLOOKUP(AG321,'Look Ups'!$F$3:$G$6,2,0)*VLOOKUP(AH321,'Look Ups'!$I$3:$J$5,2,0)*VLOOKUP(AI321,'Look Ups'!$L$3:$M$7,2,0)*IF(AJ321="",1,VLOOKUP(AJ321,'Look Ups'!$O$3:$P$4,2,0)))</f>
        <v>1</v>
      </c>
      <c r="AL321" s="83">
        <v>6.5</v>
      </c>
      <c r="AM321" s="91">
        <v>6</v>
      </c>
      <c r="AN321" s="91">
        <v>1.85</v>
      </c>
      <c r="AO321" s="91">
        <v>0.4</v>
      </c>
      <c r="AP321" s="91">
        <v>0.27</v>
      </c>
      <c r="AQ321" s="91">
        <v>6.5</v>
      </c>
      <c r="AR321" s="91"/>
      <c r="AS321" s="91">
        <v>1.8</v>
      </c>
      <c r="AT321" s="91"/>
      <c r="AU321" s="91"/>
      <c r="AV321" s="91" t="s">
        <v>148</v>
      </c>
      <c r="AW321" s="97"/>
      <c r="AX321" s="256">
        <f t="shared" si="156"/>
        <v>6.5</v>
      </c>
      <c r="AY321" s="256">
        <f t="shared" si="157"/>
        <v>0</v>
      </c>
      <c r="AZ321" s="275">
        <f>IF(C321="",0,(0.5*(_ML1*LPM)+0.5*(_ML1*HB)+0.66*(P*PR)+0.66*(_ML2*RDM)+0.66*(E*ER))*VLOOKUP(BATT,'Look Ups'!$U$3:$V$4,2,0))</f>
        <v>8.3817000000000004</v>
      </c>
      <c r="BA321" s="98"/>
      <c r="BB321" s="99"/>
      <c r="BC321" s="83">
        <v>4.4000000000000004</v>
      </c>
      <c r="BD321" s="91">
        <v>1.45</v>
      </c>
      <c r="BE321" s="91">
        <v>1.55</v>
      </c>
      <c r="BF321" s="91">
        <v>0.05</v>
      </c>
      <c r="BG321" s="91">
        <v>4.3</v>
      </c>
      <c r="BH321" s="91"/>
      <c r="BI321" s="91"/>
      <c r="BJ321" s="91"/>
      <c r="BK321" s="91"/>
      <c r="BL321" s="97"/>
      <c r="BM321" s="275">
        <f t="shared" si="158"/>
        <v>3.2411499999999998</v>
      </c>
      <c r="BN321" s="319"/>
      <c r="BO321" s="320"/>
      <c r="BP321" s="321"/>
      <c r="BQ321" s="321"/>
      <c r="BR321" s="320"/>
      <c r="BS321" s="321"/>
      <c r="BT321" s="321"/>
      <c r="BU321" s="280">
        <f t="shared" si="159"/>
        <v>0</v>
      </c>
      <c r="BV321" s="322"/>
      <c r="BW321" s="320"/>
      <c r="BX321" s="320"/>
      <c r="BY321" s="320"/>
      <c r="BZ321" s="320"/>
      <c r="CA321" s="320"/>
      <c r="CB321" s="320"/>
      <c r="CC321" s="275">
        <f t="shared" si="160"/>
        <v>0</v>
      </c>
      <c r="CD321" s="98"/>
      <c r="CE321" s="91"/>
      <c r="CF321" s="91"/>
      <c r="CG321" s="91"/>
      <c r="CH321" s="266" t="str">
        <f t="shared" si="161"/>
        <v/>
      </c>
      <c r="CI321" s="320"/>
      <c r="CJ321" s="280">
        <f t="shared" si="162"/>
        <v>0</v>
      </c>
      <c r="CK321" s="83">
        <v>2.8</v>
      </c>
      <c r="CL321" s="91">
        <v>6.2</v>
      </c>
      <c r="CM321" s="91">
        <v>5.3</v>
      </c>
      <c r="CN321" s="91">
        <v>1.44</v>
      </c>
      <c r="CO321" s="256">
        <f t="shared" si="163"/>
        <v>51.428571428571438</v>
      </c>
      <c r="CP321" s="320"/>
      <c r="CQ321" s="256">
        <f t="shared" si="164"/>
        <v>8.2033333333333331</v>
      </c>
      <c r="CR321" s="256" t="str">
        <f>IF(CO321&lt;'Look Ups'!$AC$4,"Yes","No")</f>
        <v>Yes</v>
      </c>
      <c r="CS321" s="293">
        <f>IF(CR321="Yes",MIN(150,('Look Ups'!$AC$4-PSCR)/('Look Ups'!$AC$4-'Look Ups'!$AC$3)*100),0)</f>
        <v>11.428571428571246</v>
      </c>
      <c r="CT321" s="83"/>
      <c r="CU321" s="91"/>
      <c r="CV321" s="91"/>
      <c r="CW321" s="91"/>
      <c r="CX321" s="256" t="str">
        <f t="shared" si="165"/>
        <v/>
      </c>
      <c r="CY321" s="293">
        <f>IF(PUSCR&lt;'Look Ups'!$AC$4,MIN(150,('Look Ups'!$AC$4-PUSCR)/('Look Ups'!$AC$4-'Look Ups'!$AC$3)*100),0)</f>
        <v>0</v>
      </c>
      <c r="CZ321" s="275">
        <f>IF(PUSCR&lt;'Look Ups'!$AC$4,USCRF*(USCRL1+USCRL2)/4+(USCRMG-USCRF/2)*(USCRL1+USCRL2)/3,0)</f>
        <v>0</v>
      </c>
      <c r="DA321" s="294">
        <f t="shared" si="166"/>
        <v>1</v>
      </c>
      <c r="DB321" s="256">
        <f t="shared" si="167"/>
        <v>8.3817000000000004</v>
      </c>
      <c r="DC321" s="256">
        <f t="shared" si="168"/>
        <v>1</v>
      </c>
      <c r="DD321" s="256">
        <f t="shared" si="169"/>
        <v>3.2411499999999998</v>
      </c>
      <c r="DE321" s="256">
        <f>IF(AZ321&gt;0,'Look Ups'!$S$3,0)</f>
        <v>1</v>
      </c>
      <c r="DF321" s="256">
        <f t="shared" si="170"/>
        <v>0</v>
      </c>
      <c r="DG321" s="256">
        <f t="shared" si="171"/>
        <v>0</v>
      </c>
      <c r="DH321" s="256">
        <f t="shared" si="172"/>
        <v>0</v>
      </c>
      <c r="DI321" s="280">
        <f t="shared" si="173"/>
        <v>0</v>
      </c>
      <c r="DJ321" s="295" t="str">
        <f t="shared" si="174"/>
        <v>valid</v>
      </c>
      <c r="DK321" s="266" t="str">
        <f t="shared" si="175"/>
        <v>-</v>
      </c>
      <c r="DL321" s="267" t="str">
        <f t="shared" si="176"/>
        <v>MGScr</v>
      </c>
      <c r="DM321" s="294">
        <f t="shared" si="177"/>
        <v>11.62285</v>
      </c>
      <c r="DN321" s="256">
        <f>IF(MSASP&gt;0,'Look Ups'!$AI$4*(ZVAL*MSASP-RSAG),0)</f>
        <v>0</v>
      </c>
      <c r="DO321" s="256">
        <f>IF(AND(MSASC&gt;0,(MSASC&gt;=0.36*RSAM)),('Look Ups'!$AI$3*(ZVAL*MSASC-RSAG)),(0))</f>
        <v>1.7367641666666667</v>
      </c>
      <c r="DP321" s="256">
        <f>IF(MSASP&gt;0,'Look Ups'!$AI$5*(ZVAL*MSASP-RSAG),0)</f>
        <v>0</v>
      </c>
      <c r="DQ321" s="256">
        <f>IF(MSASC&gt;0,'Look Ups'!$AI$6*(MSASC-RSAG),0)</f>
        <v>0.34735283333333339</v>
      </c>
      <c r="DR321" s="280">
        <f>'Look Ups'!$AI$7*MAX(IF(MSAUSC&gt;0,EUSC/100*(MSAUSC-RSAG),0),IF(CR321="Yes",ELSC/100*(MSASC-RSAG),0))</f>
        <v>0.14177666666666441</v>
      </c>
      <c r="DS321" s="280">
        <f t="shared" si="178"/>
        <v>3.0174120000000002</v>
      </c>
      <c r="DT321" s="296">
        <f t="shared" si="179"/>
        <v>13.501390833333332</v>
      </c>
      <c r="DU321" s="14"/>
    </row>
    <row r="322" spans="1:125" ht="15.6" customHeight="1" x14ac:dyDescent="0.3">
      <c r="A322" s="4"/>
      <c r="B322" s="365"/>
      <c r="C322" s="369" t="s">
        <v>1056</v>
      </c>
      <c r="D322" s="370" t="s">
        <v>1057</v>
      </c>
      <c r="E322" s="371" t="s">
        <v>1058</v>
      </c>
      <c r="F322" s="252">
        <f t="shared" ca="1" si="150"/>
        <v>0.80600000000000005</v>
      </c>
      <c r="G322" s="252" t="str">
        <f ca="1">IF(OR(FLSCR="ERROR",FLSPI="ERROR"),"No",IF(TODAY()-'Look Ups'!$D$4*365&gt;I322,"WP Applied","Yes"))</f>
        <v>WP Applied</v>
      </c>
      <c r="H322" s="253" t="str">
        <f t="shared" si="151"/>
        <v>Main-Genoa-Spinnaker</v>
      </c>
      <c r="I322" s="1">
        <v>35803</v>
      </c>
      <c r="J322" s="1"/>
      <c r="K322" s="87" t="s">
        <v>602</v>
      </c>
      <c r="L322" s="87" t="s">
        <v>270</v>
      </c>
      <c r="M322" s="207"/>
      <c r="N322" s="88" t="s">
        <v>318</v>
      </c>
      <c r="O322" s="88"/>
      <c r="P322" s="89">
        <v>7.6</v>
      </c>
      <c r="Q322" s="90">
        <v>11.5</v>
      </c>
      <c r="R322" s="87"/>
      <c r="S322" s="256">
        <f t="shared" si="152"/>
        <v>0.28750000000000003</v>
      </c>
      <c r="T322" s="117">
        <v>0.7</v>
      </c>
      <c r="U322" s="117">
        <v>0</v>
      </c>
      <c r="V322" s="258">
        <f t="shared" si="153"/>
        <v>10.8</v>
      </c>
      <c r="W322" s="259">
        <f>IF(RL&gt;0,IF(RL&gt;'Look Ups'!Y$7,'Look Ups'!Y$8,('Look Ups'!Y$3*RL^3+'Look Ups'!Y$4*RL^2+'Look Ups'!Y$5*RL+'Look Ups'!Y$6)),0)</f>
        <v>0.29937449599999999</v>
      </c>
      <c r="X322" s="92">
        <v>3614</v>
      </c>
      <c r="Y322" s="263">
        <f ca="1">IF(WDATE&lt;(TODAY()-'Look Ups'!$D$4*365),-WM*'Look Ups'!$D$5/100,0)</f>
        <v>-542.1</v>
      </c>
      <c r="Z322" s="103"/>
      <c r="AA322" s="109"/>
      <c r="AB322" s="109"/>
      <c r="AC322" s="265">
        <f>WCD+NC*'Look Ups'!$AF$3</f>
        <v>0</v>
      </c>
      <c r="AD322" s="265">
        <f ca="1">IF(RL&lt;'Look Ups'!AM$3,'Look Ups'!AM$4,IF(RL&gt;'Look Ups'!AM$5,'Look Ups'!AM$6,(RL-'Look Ups'!AM$3)/('Look Ups'!AM$5-'Look Ups'!AM$3)*('Look Ups'!AM$6-'Look Ups'!AM$4)+'Look Ups'!AM$4))/100*WS</f>
        <v>463.5776363636362</v>
      </c>
      <c r="AE322" s="269">
        <f t="shared" ca="1" si="154"/>
        <v>3071.9</v>
      </c>
      <c r="AF322" s="267">
        <f t="shared" ca="1" si="155"/>
        <v>3071.9</v>
      </c>
      <c r="AG322" s="94" t="s">
        <v>145</v>
      </c>
      <c r="AH322" s="95" t="s">
        <v>146</v>
      </c>
      <c r="AI322" s="96" t="s">
        <v>147</v>
      </c>
      <c r="AJ322" s="218"/>
      <c r="AK322" s="273">
        <f>IF(C322="",0,VLOOKUP(AG322,'Look Ups'!$F$3:$G$6,2,0)*VLOOKUP(AH322,'Look Ups'!$I$3:$J$5,2,0)*VLOOKUP(AI322,'Look Ups'!$L$3:$M$7,2,0)*IF(AJ322="",1,VLOOKUP(AJ322,'Look Ups'!$O$3:$P$4,2,0)))</f>
        <v>1</v>
      </c>
      <c r="AL322" s="83">
        <v>13.12</v>
      </c>
      <c r="AM322" s="91">
        <v>13.05</v>
      </c>
      <c r="AN322" s="91">
        <v>4.09</v>
      </c>
      <c r="AO322" s="91">
        <v>0.17</v>
      </c>
      <c r="AP322" s="91">
        <v>0.43</v>
      </c>
      <c r="AQ322" s="91">
        <v>12.9</v>
      </c>
      <c r="AR322" s="91">
        <v>0.30000000000000004</v>
      </c>
      <c r="AS322" s="91">
        <v>4.1500000000000004</v>
      </c>
      <c r="AT322" s="91">
        <v>0</v>
      </c>
      <c r="AU322" s="91">
        <v>0</v>
      </c>
      <c r="AV322" s="91" t="s">
        <v>148</v>
      </c>
      <c r="AW322" s="97">
        <v>0</v>
      </c>
      <c r="AX322" s="256">
        <f t="shared" si="156"/>
        <v>12.9</v>
      </c>
      <c r="AY322" s="256">
        <f t="shared" si="157"/>
        <v>0</v>
      </c>
      <c r="AZ322" s="275">
        <f>IF(C322="",0,(0.5*(_ML1*LPM)+0.5*(_ML1*HB)+0.66*(P*PR)+0.66*(_ML2*RDM)+0.66*(E*ER))*VLOOKUP(BATT,'Look Ups'!$U$3:$V$4,2,0))</f>
        <v>34.203389999999999</v>
      </c>
      <c r="BA322" s="98"/>
      <c r="BB322" s="99"/>
      <c r="BC322" s="83">
        <v>12.87</v>
      </c>
      <c r="BD322" s="91">
        <v>4.7</v>
      </c>
      <c r="BE322" s="91">
        <v>5.45</v>
      </c>
      <c r="BF322" s="91">
        <v>0.1</v>
      </c>
      <c r="BG322" s="91">
        <v>11.15</v>
      </c>
      <c r="BH322" s="91"/>
      <c r="BI322" s="91"/>
      <c r="BJ322" s="91">
        <v>-0.2</v>
      </c>
      <c r="BK322" s="91">
        <v>0</v>
      </c>
      <c r="BL322" s="97"/>
      <c r="BM322" s="275">
        <f t="shared" si="158"/>
        <v>29.132399999999997</v>
      </c>
      <c r="BN322" s="319"/>
      <c r="BO322" s="320"/>
      <c r="BP322" s="321"/>
      <c r="BQ322" s="321"/>
      <c r="BR322" s="320"/>
      <c r="BS322" s="321"/>
      <c r="BT322" s="321"/>
      <c r="BU322" s="280">
        <f t="shared" si="159"/>
        <v>0</v>
      </c>
      <c r="BV322" s="322"/>
      <c r="BW322" s="320"/>
      <c r="BX322" s="320"/>
      <c r="BY322" s="320"/>
      <c r="BZ322" s="320"/>
      <c r="CA322" s="320"/>
      <c r="CB322" s="320"/>
      <c r="CC322" s="275">
        <f t="shared" si="160"/>
        <v>0</v>
      </c>
      <c r="CD322" s="98">
        <v>8.25</v>
      </c>
      <c r="CE322" s="91">
        <v>13.7</v>
      </c>
      <c r="CF322" s="91">
        <v>13.7</v>
      </c>
      <c r="CG322" s="91">
        <v>7.3</v>
      </c>
      <c r="CH322" s="266">
        <f t="shared" si="161"/>
        <v>88.48484848484847</v>
      </c>
      <c r="CI322" s="320"/>
      <c r="CJ322" s="280">
        <f t="shared" si="162"/>
        <v>85.510833333333323</v>
      </c>
      <c r="CK322" s="83"/>
      <c r="CL322" s="91"/>
      <c r="CM322" s="91"/>
      <c r="CN322" s="91"/>
      <c r="CO322" s="256" t="str">
        <f t="shared" si="163"/>
        <v/>
      </c>
      <c r="CP322" s="320"/>
      <c r="CQ322" s="256">
        <f t="shared" si="164"/>
        <v>0</v>
      </c>
      <c r="CR322" s="256" t="str">
        <f>IF(CO322&lt;'Look Ups'!$AC$4,"Yes","No")</f>
        <v>No</v>
      </c>
      <c r="CS322" s="293">
        <f>IF(CR322="Yes",MIN(150,('Look Ups'!$AC$4-PSCR)/('Look Ups'!$AC$4-'Look Ups'!$AC$3)*100),0)</f>
        <v>0</v>
      </c>
      <c r="CT322" s="83"/>
      <c r="CU322" s="91"/>
      <c r="CV322" s="91"/>
      <c r="CW322" s="91"/>
      <c r="CX322" s="256" t="str">
        <f t="shared" si="165"/>
        <v/>
      </c>
      <c r="CY322" s="293">
        <f>IF(PUSCR&lt;'Look Ups'!$AC$4,MIN(150,('Look Ups'!$AC$4-PUSCR)/('Look Ups'!$AC$4-'Look Ups'!$AC$3)*100),0)</f>
        <v>0</v>
      </c>
      <c r="CZ322" s="275">
        <f>IF(PUSCR&lt;'Look Ups'!$AC$4,USCRF*(USCRL1+USCRL2)/4+(USCRMG-USCRF/2)*(USCRL1+USCRL2)/3,0)</f>
        <v>0</v>
      </c>
      <c r="DA322" s="294">
        <f t="shared" si="166"/>
        <v>1</v>
      </c>
      <c r="DB322" s="256">
        <f t="shared" si="167"/>
        <v>34.203389999999999</v>
      </c>
      <c r="DC322" s="256">
        <f t="shared" si="168"/>
        <v>1</v>
      </c>
      <c r="DD322" s="256">
        <f t="shared" si="169"/>
        <v>29.132399999999997</v>
      </c>
      <c r="DE322" s="256">
        <f>IF(AZ322&gt;0,'Look Ups'!$S$3,0)</f>
        <v>1</v>
      </c>
      <c r="DF322" s="256">
        <f t="shared" si="170"/>
        <v>0</v>
      </c>
      <c r="DG322" s="256">
        <f t="shared" si="171"/>
        <v>0</v>
      </c>
      <c r="DH322" s="256">
        <f t="shared" si="172"/>
        <v>0</v>
      </c>
      <c r="DI322" s="280">
        <f t="shared" si="173"/>
        <v>0</v>
      </c>
      <c r="DJ322" s="295" t="str">
        <f t="shared" si="174"/>
        <v>-</v>
      </c>
      <c r="DK322" s="266" t="str">
        <f t="shared" si="175"/>
        <v>valid</v>
      </c>
      <c r="DL322" s="267" t="str">
        <f t="shared" si="176"/>
        <v>MGSP</v>
      </c>
      <c r="DM322" s="294">
        <f t="shared" si="177"/>
        <v>63.335789999999996</v>
      </c>
      <c r="DN322" s="256">
        <f>IF(MSASP&gt;0,'Look Ups'!$AI$4*(ZVAL*MSASP-RSAG),0)</f>
        <v>16.913529999999998</v>
      </c>
      <c r="DO322" s="256">
        <f>IF(AND(MSASC&gt;0,(MSASC&gt;=0.36*RSAM)),('Look Ups'!$AI$3*(ZVAL*MSASC-RSAG)),(0))</f>
        <v>0</v>
      </c>
      <c r="DP322" s="256">
        <f>IF(MSASP&gt;0,'Look Ups'!$AI$5*(ZVAL*MSASP-RSAG),0)</f>
        <v>15.785961333333333</v>
      </c>
      <c r="DQ322" s="256">
        <f>IF(MSASC&gt;0,'Look Ups'!$AI$6*(MSASC-RSAG),0)</f>
        <v>0</v>
      </c>
      <c r="DR322" s="280">
        <f>'Look Ups'!$AI$7*MAX(IF(MSAUSC&gt;0,EUSC/100*(MSAUSC-RSAG),0),IF(CR322="Yes",ELSC/100*(MSASC-RSAG),0))</f>
        <v>0</v>
      </c>
      <c r="DS322" s="280">
        <f t="shared" si="178"/>
        <v>12.313220399999999</v>
      </c>
      <c r="DT322" s="296">
        <f t="shared" si="179"/>
        <v>80.249319999999997</v>
      </c>
      <c r="DU322" s="14"/>
    </row>
    <row r="323" spans="1:125" ht="15.6" customHeight="1" x14ac:dyDescent="0.3">
      <c r="A323" s="4"/>
      <c r="B323" s="365"/>
      <c r="C323" s="369" t="s">
        <v>1059</v>
      </c>
      <c r="D323" s="370" t="s">
        <v>1060</v>
      </c>
      <c r="E323" s="371" t="s">
        <v>1061</v>
      </c>
      <c r="F323" s="252">
        <f t="shared" ca="1" si="150"/>
        <v>0.999</v>
      </c>
      <c r="G323" s="252" t="str">
        <f ca="1">IF(OR(FLSCR="ERROR",FLSPI="ERROR"),"No",IF(TODAY()-'Look Ups'!$D$4*365&gt;I323,"WP Applied","Yes"))</f>
        <v>WP Applied</v>
      </c>
      <c r="H323" s="253" t="str">
        <f t="shared" si="151"/>
        <v>Main-Genoa-Spinnaker</v>
      </c>
      <c r="I323" s="1">
        <v>38951</v>
      </c>
      <c r="J323" s="1"/>
      <c r="K323" s="87" t="s">
        <v>657</v>
      </c>
      <c r="L323" s="87" t="s">
        <v>658</v>
      </c>
      <c r="M323" s="207"/>
      <c r="N323" s="88" t="s">
        <v>165</v>
      </c>
      <c r="O323" s="88"/>
      <c r="P323" s="89"/>
      <c r="Q323" s="90">
        <v>10.75</v>
      </c>
      <c r="R323" s="87"/>
      <c r="S323" s="256">
        <f t="shared" si="152"/>
        <v>0.26874999999999999</v>
      </c>
      <c r="T323" s="117">
        <v>0.35</v>
      </c>
      <c r="U323" s="117">
        <v>0</v>
      </c>
      <c r="V323" s="258">
        <f t="shared" si="153"/>
        <v>10.4</v>
      </c>
      <c r="W323" s="259">
        <f>IF(RL&gt;0,IF(RL&gt;'Look Ups'!Y$7,'Look Ups'!Y$8,('Look Ups'!Y$3*RL^3+'Look Ups'!Y$4*RL^2+'Look Ups'!Y$5*RL+'Look Ups'!Y$6)),0)</f>
        <v>0.29899651199999999</v>
      </c>
      <c r="X323" s="92">
        <v>2202</v>
      </c>
      <c r="Y323" s="263">
        <f ca="1">IF(WDATE&lt;(TODAY()-'Look Ups'!$D$4*365),-WM*'Look Ups'!$D$5/100,0)</f>
        <v>-330.3</v>
      </c>
      <c r="Z323" s="103"/>
      <c r="AA323" s="109"/>
      <c r="AB323" s="109"/>
      <c r="AC323" s="265">
        <f>WCD+NC*'Look Ups'!$AF$3</f>
        <v>0</v>
      </c>
      <c r="AD323" s="265">
        <f ca="1">IF(RL&lt;'Look Ups'!AM$3,'Look Ups'!AM$4,IF(RL&gt;'Look Ups'!AM$5,'Look Ups'!AM$6,(RL-'Look Ups'!AM$3)/('Look Ups'!AM$5-'Look Ups'!AM$3)*('Look Ups'!AM$6-'Look Ups'!AM$4)+'Look Ups'!AM$4))/100*WS</f>
        <v>309.6812727272727</v>
      </c>
      <c r="AE323" s="269">
        <f t="shared" ca="1" si="154"/>
        <v>1871.7</v>
      </c>
      <c r="AF323" s="267">
        <f t="shared" ca="1" si="155"/>
        <v>1871.7</v>
      </c>
      <c r="AG323" s="94" t="s">
        <v>145</v>
      </c>
      <c r="AH323" s="95" t="s">
        <v>146</v>
      </c>
      <c r="AI323" s="96" t="s">
        <v>147</v>
      </c>
      <c r="AJ323" s="218"/>
      <c r="AK323" s="273">
        <f>IF(C323="",0,VLOOKUP(AG323,'Look Ups'!$F$3:$G$6,2,0)*VLOOKUP(AH323,'Look Ups'!$I$3:$J$5,2,0)*VLOOKUP(AI323,'Look Ups'!$L$3:$M$7,2,0)*IF(AJ323="",1,VLOOKUP(AJ323,'Look Ups'!$O$3:$P$4,2,0)))</f>
        <v>1</v>
      </c>
      <c r="AL323" s="83">
        <v>13.72</v>
      </c>
      <c r="AM323" s="91">
        <v>13.32</v>
      </c>
      <c r="AN323" s="91">
        <v>4.04</v>
      </c>
      <c r="AO323" s="91">
        <v>1.33</v>
      </c>
      <c r="AP323" s="91">
        <v>1.1000000000000001</v>
      </c>
      <c r="AQ323" s="91">
        <v>13.37</v>
      </c>
      <c r="AR323" s="91">
        <v>0.14000000000000001</v>
      </c>
      <c r="AS323" s="91">
        <v>4.2</v>
      </c>
      <c r="AT323" s="91">
        <v>0.04</v>
      </c>
      <c r="AU323" s="91">
        <v>0.53</v>
      </c>
      <c r="AV323" s="91" t="s">
        <v>148</v>
      </c>
      <c r="AW323" s="97">
        <v>0</v>
      </c>
      <c r="AX323" s="256">
        <f t="shared" si="156"/>
        <v>13.409999999999998</v>
      </c>
      <c r="AY323" s="256">
        <f t="shared" si="157"/>
        <v>2.6572875000000002</v>
      </c>
      <c r="AZ323" s="275">
        <f>IF(C323="",0,(0.5*(_ML1*LPM)+0.5*(_ML1*HB)+0.66*(P*PR)+0.66*(_ML2*RDM)+0.66*(E*ER))*VLOOKUP(BATT,'Look Ups'!$U$3:$V$4,2,0))</f>
        <v>47.854788000000006</v>
      </c>
      <c r="BA323" s="98"/>
      <c r="BB323" s="99"/>
      <c r="BC323" s="83">
        <v>11.86</v>
      </c>
      <c r="BD323" s="91">
        <v>4.2300000000000004</v>
      </c>
      <c r="BE323" s="91">
        <v>4.8100000000000005</v>
      </c>
      <c r="BF323" s="91">
        <v>0.1</v>
      </c>
      <c r="BG323" s="91">
        <v>10.52</v>
      </c>
      <c r="BH323" s="91"/>
      <c r="BI323" s="91"/>
      <c r="BJ323" s="91">
        <v>0.09</v>
      </c>
      <c r="BK323" s="91">
        <v>-0.09</v>
      </c>
      <c r="BL323" s="97">
        <v>0</v>
      </c>
      <c r="BM323" s="275">
        <f t="shared" si="158"/>
        <v>25.321763999999998</v>
      </c>
      <c r="BN323" s="319"/>
      <c r="BO323" s="320"/>
      <c r="BP323" s="321"/>
      <c r="BQ323" s="321"/>
      <c r="BR323" s="320"/>
      <c r="BS323" s="321"/>
      <c r="BT323" s="321"/>
      <c r="BU323" s="280">
        <f t="shared" si="159"/>
        <v>0</v>
      </c>
      <c r="BV323" s="322"/>
      <c r="BW323" s="320"/>
      <c r="BX323" s="320"/>
      <c r="BY323" s="320"/>
      <c r="BZ323" s="320"/>
      <c r="CA323" s="320"/>
      <c r="CB323" s="320"/>
      <c r="CC323" s="275">
        <f t="shared" si="160"/>
        <v>0</v>
      </c>
      <c r="CD323" s="98">
        <v>8.64</v>
      </c>
      <c r="CE323" s="91">
        <v>13.78</v>
      </c>
      <c r="CF323" s="91">
        <v>12.23</v>
      </c>
      <c r="CG323" s="91">
        <v>7.98</v>
      </c>
      <c r="CH323" s="266">
        <f t="shared" si="161"/>
        <v>92.3611111111111</v>
      </c>
      <c r="CI323" s="320"/>
      <c r="CJ323" s="280">
        <f t="shared" si="162"/>
        <v>87.913799999999995</v>
      </c>
      <c r="CK323" s="83"/>
      <c r="CL323" s="91"/>
      <c r="CM323" s="91"/>
      <c r="CN323" s="91"/>
      <c r="CO323" s="256" t="str">
        <f t="shared" si="163"/>
        <v/>
      </c>
      <c r="CP323" s="320"/>
      <c r="CQ323" s="256">
        <f t="shared" si="164"/>
        <v>0</v>
      </c>
      <c r="CR323" s="256" t="str">
        <f>IF(CO323&lt;'Look Ups'!$AC$4,"Yes","No")</f>
        <v>No</v>
      </c>
      <c r="CS323" s="293">
        <f>IF(CR323="Yes",MIN(150,('Look Ups'!$AC$4-PSCR)/('Look Ups'!$AC$4-'Look Ups'!$AC$3)*100),0)</f>
        <v>0</v>
      </c>
      <c r="CT323" s="83"/>
      <c r="CU323" s="91"/>
      <c r="CV323" s="91"/>
      <c r="CW323" s="91"/>
      <c r="CX323" s="256" t="str">
        <f t="shared" si="165"/>
        <v/>
      </c>
      <c r="CY323" s="293">
        <f>IF(PUSCR&lt;'Look Ups'!$AC$4,MIN(150,('Look Ups'!$AC$4-PUSCR)/('Look Ups'!$AC$4-'Look Ups'!$AC$3)*100),0)</f>
        <v>0</v>
      </c>
      <c r="CZ323" s="275">
        <f>IF(PUSCR&lt;'Look Ups'!$AC$4,USCRF*(USCRL1+USCRL2)/4+(USCRMG-USCRF/2)*(USCRL1+USCRL2)/3,0)</f>
        <v>0</v>
      </c>
      <c r="DA323" s="294">
        <f t="shared" si="166"/>
        <v>1</v>
      </c>
      <c r="DB323" s="256">
        <f t="shared" si="167"/>
        <v>50.512075500000009</v>
      </c>
      <c r="DC323" s="256">
        <f t="shared" si="168"/>
        <v>1</v>
      </c>
      <c r="DD323" s="256">
        <f t="shared" si="169"/>
        <v>25.321763999999998</v>
      </c>
      <c r="DE323" s="256">
        <f>IF(AZ323&gt;0,'Look Ups'!$S$3,0)</f>
        <v>1</v>
      </c>
      <c r="DF323" s="256">
        <f t="shared" si="170"/>
        <v>0</v>
      </c>
      <c r="DG323" s="256">
        <f t="shared" si="171"/>
        <v>0</v>
      </c>
      <c r="DH323" s="256">
        <f t="shared" si="172"/>
        <v>0</v>
      </c>
      <c r="DI323" s="280">
        <f t="shared" si="173"/>
        <v>0</v>
      </c>
      <c r="DJ323" s="295" t="str">
        <f t="shared" si="174"/>
        <v>-</v>
      </c>
      <c r="DK323" s="266" t="str">
        <f t="shared" si="175"/>
        <v>valid</v>
      </c>
      <c r="DL323" s="267" t="str">
        <f t="shared" si="176"/>
        <v>MGSP</v>
      </c>
      <c r="DM323" s="294">
        <f t="shared" si="177"/>
        <v>75.833839500000011</v>
      </c>
      <c r="DN323" s="256">
        <f>IF(MSASP&gt;0,'Look Ups'!$AI$4*(ZVAL*MSASP-RSAG),0)</f>
        <v>18.777610799999998</v>
      </c>
      <c r="DO323" s="256">
        <f>IF(AND(MSASC&gt;0,(MSASC&gt;=0.36*RSAM)),('Look Ups'!$AI$3*(ZVAL*MSASC-RSAG)),(0))</f>
        <v>0</v>
      </c>
      <c r="DP323" s="256">
        <f>IF(MSASP&gt;0,'Look Ups'!$AI$5*(ZVAL*MSASP-RSAG),0)</f>
        <v>17.525770080000001</v>
      </c>
      <c r="DQ323" s="256">
        <f>IF(MSASC&gt;0,'Look Ups'!$AI$6*(MSASC-RSAG),0)</f>
        <v>0</v>
      </c>
      <c r="DR323" s="280">
        <f>'Look Ups'!$AI$7*MAX(IF(MSAUSC&gt;0,EUSC/100*(MSAUSC-RSAG),0),IF(CR323="Yes",ELSC/100*(MSASC-RSAG),0))</f>
        <v>0</v>
      </c>
      <c r="DS323" s="280">
        <f t="shared" si="178"/>
        <v>18.184347180000003</v>
      </c>
      <c r="DT323" s="296">
        <f t="shared" si="179"/>
        <v>94.611450300000001</v>
      </c>
      <c r="DU323" s="14"/>
    </row>
    <row r="324" spans="1:125" ht="15.6" customHeight="1" x14ac:dyDescent="0.3">
      <c r="A324" s="4"/>
      <c r="B324" s="365"/>
      <c r="C324" s="369" t="s">
        <v>1062</v>
      </c>
      <c r="D324" s="370" t="s">
        <v>468</v>
      </c>
      <c r="E324" s="371" t="s">
        <v>562</v>
      </c>
      <c r="F324" s="252">
        <f t="shared" ca="1" si="150"/>
        <v>1.022</v>
      </c>
      <c r="G324" s="252" t="str">
        <f ca="1">IF(OR(FLSCR="ERROR",FLSPI="ERROR"),"No",IF(TODAY()-'Look Ups'!$D$4*365&gt;I324,"WP Applied","Yes"))</f>
        <v>WP Applied</v>
      </c>
      <c r="H324" s="253" t="str">
        <f t="shared" si="151"/>
        <v>Main-Genoa-Screacher (Upwind)-Spinnaker</v>
      </c>
      <c r="I324" s="1">
        <v>38652</v>
      </c>
      <c r="J324" s="1"/>
      <c r="K324" s="87" t="s">
        <v>191</v>
      </c>
      <c r="L324" s="87" t="s">
        <v>270</v>
      </c>
      <c r="M324" s="207"/>
      <c r="N324" s="88" t="s">
        <v>165</v>
      </c>
      <c r="O324" s="88"/>
      <c r="P324" s="89">
        <v>7.2</v>
      </c>
      <c r="Q324" s="90">
        <v>12.58</v>
      </c>
      <c r="R324" s="87"/>
      <c r="S324" s="256">
        <f t="shared" si="152"/>
        <v>0.3145</v>
      </c>
      <c r="T324" s="117">
        <v>0.27</v>
      </c>
      <c r="U324" s="117">
        <v>0</v>
      </c>
      <c r="V324" s="258">
        <f t="shared" si="153"/>
        <v>12.31</v>
      </c>
      <c r="W324" s="259">
        <f>IF(RL&gt;0,IF(RL&gt;'Look Ups'!Y$7,'Look Ups'!Y$8,('Look Ups'!Y$3*RL^3+'Look Ups'!Y$4*RL^2+'Look Ups'!Y$5*RL+'Look Ups'!Y$6)),0)</f>
        <v>0.3</v>
      </c>
      <c r="X324" s="92">
        <v>3120</v>
      </c>
      <c r="Y324" s="263">
        <f ca="1">IF(WDATE&lt;(TODAY()-'Look Ups'!$D$4*365),-WM*'Look Ups'!$D$5/100,0)</f>
        <v>-468</v>
      </c>
      <c r="Z324" s="103"/>
      <c r="AA324" s="109"/>
      <c r="AB324" s="109"/>
      <c r="AC324" s="265">
        <f>WCD+NC*'Look Ups'!$AF$3</f>
        <v>0</v>
      </c>
      <c r="AD324" s="265">
        <f ca="1">IF(RL&lt;'Look Ups'!AM$3,'Look Ups'!AM$4,IF(RL&gt;'Look Ups'!AM$5,'Look Ups'!AM$6,(RL-'Look Ups'!AM$3)/('Look Ups'!AM$5-'Look Ups'!AM$3)*('Look Ups'!AM$6-'Look Ups'!AM$4)+'Look Ups'!AM$4))/100*WS</f>
        <v>265.2</v>
      </c>
      <c r="AE324" s="269">
        <f t="shared" ca="1" si="154"/>
        <v>2652</v>
      </c>
      <c r="AF324" s="267">
        <f t="shared" ca="1" si="155"/>
        <v>2652</v>
      </c>
      <c r="AG324" s="94" t="s">
        <v>145</v>
      </c>
      <c r="AH324" s="95" t="s">
        <v>146</v>
      </c>
      <c r="AI324" s="96" t="s">
        <v>147</v>
      </c>
      <c r="AJ324" s="218"/>
      <c r="AK324" s="273">
        <f>IF(C324="",0,VLOOKUP(AG324,'Look Ups'!$F$3:$G$6,2,0)*VLOOKUP(AH324,'Look Ups'!$I$3:$J$5,2,0)*VLOOKUP(AI324,'Look Ups'!$L$3:$M$7,2,0)*IF(AJ324="",1,VLOOKUP(AJ324,'Look Ups'!$O$3:$P$4,2,0)))</f>
        <v>1</v>
      </c>
      <c r="AL324" s="83">
        <v>13.72</v>
      </c>
      <c r="AM324" s="91">
        <v>12.88</v>
      </c>
      <c r="AN324" s="91">
        <v>4.84</v>
      </c>
      <c r="AO324" s="91">
        <v>1.99</v>
      </c>
      <c r="AP324" s="91">
        <v>1.1299999999999999</v>
      </c>
      <c r="AQ324" s="91">
        <v>13.59</v>
      </c>
      <c r="AR324" s="91">
        <v>0.09</v>
      </c>
      <c r="AS324" s="91">
        <v>4.9800000000000004</v>
      </c>
      <c r="AT324" s="91">
        <v>0.06</v>
      </c>
      <c r="AU324" s="91">
        <v>0.62</v>
      </c>
      <c r="AV324" s="91" t="s">
        <v>148</v>
      </c>
      <c r="AW324" s="97">
        <v>0</v>
      </c>
      <c r="AX324" s="256">
        <f t="shared" si="156"/>
        <v>13.65</v>
      </c>
      <c r="AY324" s="256">
        <f t="shared" si="157"/>
        <v>3.1596749999999996</v>
      </c>
      <c r="AZ324" s="275">
        <f>IF(C324="",0,(0.5*(_ML1*LPM)+0.5*(_ML1*HB)+0.66*(P*PR)+0.66*(_ML2*RDM)+0.66*(E*ER))*VLOOKUP(BATT,'Look Ups'!$U$3:$V$4,2,0))</f>
        <v>57.464158000000005</v>
      </c>
      <c r="BA324" s="98"/>
      <c r="BB324" s="99"/>
      <c r="BC324" s="83">
        <v>13.2</v>
      </c>
      <c r="BD324" s="91">
        <v>3.82</v>
      </c>
      <c r="BE324" s="91">
        <v>4.08</v>
      </c>
      <c r="BF324" s="91">
        <v>0.1</v>
      </c>
      <c r="BG324" s="91">
        <v>12.4</v>
      </c>
      <c r="BH324" s="91"/>
      <c r="BI324" s="91"/>
      <c r="BJ324" s="91">
        <v>0.1</v>
      </c>
      <c r="BK324" s="91">
        <v>-0.24</v>
      </c>
      <c r="BL324" s="97"/>
      <c r="BM324" s="275">
        <f t="shared" si="158"/>
        <v>24.208799999999997</v>
      </c>
      <c r="BN324" s="319"/>
      <c r="BO324" s="320"/>
      <c r="BP324" s="321"/>
      <c r="BQ324" s="321"/>
      <c r="BR324" s="320"/>
      <c r="BS324" s="321"/>
      <c r="BT324" s="321"/>
      <c r="BU324" s="280">
        <f t="shared" si="159"/>
        <v>0</v>
      </c>
      <c r="BV324" s="322"/>
      <c r="BW324" s="320"/>
      <c r="BX324" s="320"/>
      <c r="BY324" s="320"/>
      <c r="BZ324" s="320"/>
      <c r="CA324" s="320"/>
      <c r="CB324" s="320"/>
      <c r="CC324" s="275">
        <f t="shared" si="160"/>
        <v>0</v>
      </c>
      <c r="CD324" s="98">
        <v>10.4</v>
      </c>
      <c r="CE324" s="91">
        <v>15.4</v>
      </c>
      <c r="CF324" s="91">
        <v>15.08</v>
      </c>
      <c r="CG324" s="91">
        <v>9.4</v>
      </c>
      <c r="CH324" s="266">
        <f t="shared" si="161"/>
        <v>90.384615384615387</v>
      </c>
      <c r="CI324" s="320"/>
      <c r="CJ324" s="280">
        <f t="shared" si="162"/>
        <v>121.92000000000002</v>
      </c>
      <c r="CK324" s="83">
        <v>8.43</v>
      </c>
      <c r="CL324" s="91">
        <v>14.23</v>
      </c>
      <c r="CM324" s="91">
        <v>10.18</v>
      </c>
      <c r="CN324" s="91">
        <v>4.24</v>
      </c>
      <c r="CO324" s="256">
        <f t="shared" si="163"/>
        <v>50.296559905100835</v>
      </c>
      <c r="CP324" s="320"/>
      <c r="CQ324" s="256">
        <f t="shared" si="164"/>
        <v>51.647491666666667</v>
      </c>
      <c r="CR324" s="256" t="str">
        <f>IF(CO324&lt;'Look Ups'!$AC$4,"Yes","No")</f>
        <v>Yes</v>
      </c>
      <c r="CS324" s="293">
        <f>IF(CR324="Yes",MIN(150,('Look Ups'!$AC$4-PSCR)/('Look Ups'!$AC$4-'Look Ups'!$AC$3)*100),0)</f>
        <v>34.068801897983292</v>
      </c>
      <c r="CT324" s="83"/>
      <c r="CU324" s="91"/>
      <c r="CV324" s="91"/>
      <c r="CW324" s="91"/>
      <c r="CX324" s="256" t="str">
        <f t="shared" si="165"/>
        <v/>
      </c>
      <c r="CY324" s="293">
        <f>IF(PUSCR&lt;'Look Ups'!$AC$4,MIN(150,('Look Ups'!$AC$4-PUSCR)/('Look Ups'!$AC$4-'Look Ups'!$AC$3)*100),0)</f>
        <v>0</v>
      </c>
      <c r="CZ324" s="275">
        <f>IF(PUSCR&lt;'Look Ups'!$AC$4,USCRF*(USCRL1+USCRL2)/4+(USCRMG-USCRF/2)*(USCRL1+USCRL2)/3,0)</f>
        <v>0</v>
      </c>
      <c r="DA324" s="294">
        <f t="shared" si="166"/>
        <v>1</v>
      </c>
      <c r="DB324" s="256">
        <f t="shared" si="167"/>
        <v>60.623833000000005</v>
      </c>
      <c r="DC324" s="256">
        <f t="shared" si="168"/>
        <v>1</v>
      </c>
      <c r="DD324" s="256">
        <f t="shared" si="169"/>
        <v>24.208799999999997</v>
      </c>
      <c r="DE324" s="256">
        <f>IF(AZ324&gt;0,'Look Ups'!$S$3,0)</f>
        <v>1</v>
      </c>
      <c r="DF324" s="256">
        <f t="shared" si="170"/>
        <v>0</v>
      </c>
      <c r="DG324" s="256">
        <f t="shared" si="171"/>
        <v>0</v>
      </c>
      <c r="DH324" s="256">
        <f t="shared" si="172"/>
        <v>0</v>
      </c>
      <c r="DI324" s="280">
        <f t="shared" si="173"/>
        <v>0</v>
      </c>
      <c r="DJ324" s="295" t="str">
        <f t="shared" si="174"/>
        <v>valid</v>
      </c>
      <c r="DK324" s="266" t="str">
        <f t="shared" si="175"/>
        <v>valid</v>
      </c>
      <c r="DL324" s="267" t="str">
        <f t="shared" si="176"/>
        <v>MGScrSP</v>
      </c>
      <c r="DM324" s="294">
        <f t="shared" si="177"/>
        <v>84.832633000000001</v>
      </c>
      <c r="DN324" s="256">
        <f>IF(MSASP&gt;0,'Look Ups'!$AI$4*(ZVAL*MSASP-RSAG),0)</f>
        <v>29.313360000000003</v>
      </c>
      <c r="DO324" s="256">
        <f>IF(AND(MSASC&gt;0,(MSASC&gt;=0.36*RSAM)),('Look Ups'!$AI$3*(ZVAL*MSASC-RSAG)),(0))</f>
        <v>9.603542083333334</v>
      </c>
      <c r="DP324" s="256">
        <f>IF(MSASP&gt;0,'Look Ups'!$AI$5*(ZVAL*MSASP-RSAG),0)</f>
        <v>27.359136000000007</v>
      </c>
      <c r="DQ324" s="256">
        <f>IF(MSASC&gt;0,'Look Ups'!$AI$6*(MSASC-RSAG),0)</f>
        <v>1.920708416666667</v>
      </c>
      <c r="DR324" s="280">
        <f>'Look Ups'!$AI$7*MAX(IF(MSAUSC&gt;0,EUSC/100*(MSAUSC-RSAG),0),IF(CR324="Yes",ELSC/100*(MSASC-RSAG),0))</f>
        <v>2.3370083768287797</v>
      </c>
      <c r="DS324" s="280">
        <f t="shared" si="178"/>
        <v>21.824579880000002</v>
      </c>
      <c r="DT324" s="296">
        <f t="shared" si="179"/>
        <v>116.44948579349546</v>
      </c>
      <c r="DU324" s="14"/>
    </row>
    <row r="325" spans="1:125" ht="15.6" customHeight="1" x14ac:dyDescent="0.3">
      <c r="A325" s="4"/>
      <c r="B325" s="365"/>
      <c r="C325" s="369" t="s">
        <v>1063</v>
      </c>
      <c r="D325" s="370" t="s">
        <v>1064</v>
      </c>
      <c r="E325" s="371" t="s">
        <v>1065</v>
      </c>
      <c r="F325" s="252">
        <f t="shared" ca="1" si="150"/>
        <v>1.01</v>
      </c>
      <c r="G325" s="252" t="str">
        <f ca="1">IF(OR(FLSCR="ERROR",FLSPI="ERROR"),"No",IF(TODAY()-'Look Ups'!$D$4*365&gt;I325,"WP Applied","Yes"))</f>
        <v>WP Applied</v>
      </c>
      <c r="H325" s="253" t="str">
        <f t="shared" si="151"/>
        <v>Main-Genoa-Screacher (Upwind)-Spinnaker</v>
      </c>
      <c r="I325" s="1">
        <v>38431</v>
      </c>
      <c r="J325" s="1">
        <v>41494</v>
      </c>
      <c r="K325" s="87" t="s">
        <v>169</v>
      </c>
      <c r="L325" s="87" t="s">
        <v>182</v>
      </c>
      <c r="M325" s="207"/>
      <c r="N325" s="88" t="s">
        <v>143</v>
      </c>
      <c r="O325" s="88" t="s">
        <v>154</v>
      </c>
      <c r="P325" s="89"/>
      <c r="Q325" s="90">
        <v>9.73</v>
      </c>
      <c r="R325" s="87"/>
      <c r="S325" s="256">
        <f t="shared" si="152"/>
        <v>0.24325000000000002</v>
      </c>
      <c r="T325" s="117">
        <v>0.08</v>
      </c>
      <c r="U325" s="117">
        <v>0</v>
      </c>
      <c r="V325" s="258">
        <f t="shared" si="153"/>
        <v>9.65</v>
      </c>
      <c r="W325" s="259">
        <f>IF(RL&gt;0,IF(RL&gt;'Look Ups'!Y$7,'Look Ups'!Y$8,('Look Ups'!Y$3*RL^3+'Look Ups'!Y$4*RL^2+'Look Ups'!Y$5*RL+'Look Ups'!Y$6)),0)</f>
        <v>0.29795836012500004</v>
      </c>
      <c r="X325" s="92">
        <v>1903</v>
      </c>
      <c r="Y325" s="263">
        <f ca="1">IF(WDATE&lt;(TODAY()-'Look Ups'!$D$4*365),-WM*'Look Ups'!$D$5/100,0)</f>
        <v>-285.45</v>
      </c>
      <c r="Z325" s="103"/>
      <c r="AA325" s="109"/>
      <c r="AB325" s="109"/>
      <c r="AC325" s="265">
        <f>WCD+NC*'Look Ups'!$AF$3</f>
        <v>0</v>
      </c>
      <c r="AD325" s="265">
        <f ca="1">IF(RL&lt;'Look Ups'!AM$3,'Look Ups'!AM$4,IF(RL&gt;'Look Ups'!AM$5,'Look Ups'!AM$6,(RL-'Look Ups'!AM$3)/('Look Ups'!AM$5-'Look Ups'!AM$3)*('Look Ups'!AM$6-'Look Ups'!AM$4)+'Look Ups'!AM$4))/100*WS</f>
        <v>311.74599999999992</v>
      </c>
      <c r="AE325" s="269">
        <f t="shared" ca="1" si="154"/>
        <v>1617.55</v>
      </c>
      <c r="AF325" s="267">
        <f t="shared" ca="1" si="155"/>
        <v>1617.55</v>
      </c>
      <c r="AG325" s="94" t="s">
        <v>145</v>
      </c>
      <c r="AH325" s="95" t="s">
        <v>146</v>
      </c>
      <c r="AI325" s="96" t="s">
        <v>147</v>
      </c>
      <c r="AJ325" s="218"/>
      <c r="AK325" s="273">
        <f>IF(C325="",0,VLOOKUP(AG325,'Look Ups'!$F$3:$G$6,2,0)*VLOOKUP(AH325,'Look Ups'!$I$3:$J$5,2,0)*VLOOKUP(AI325,'Look Ups'!$L$3:$M$7,2,0)*IF(AJ325="",1,VLOOKUP(AJ325,'Look Ups'!$O$3:$P$4,2,0)))</f>
        <v>1</v>
      </c>
      <c r="AL325" s="83">
        <v>13.19</v>
      </c>
      <c r="AM325" s="91">
        <v>13.05</v>
      </c>
      <c r="AN325" s="91">
        <v>3.9</v>
      </c>
      <c r="AO325" s="91">
        <v>2</v>
      </c>
      <c r="AP325" s="91">
        <v>0.30000000000000004</v>
      </c>
      <c r="AQ325" s="91">
        <v>13.02</v>
      </c>
      <c r="AR325" s="91">
        <v>0.125</v>
      </c>
      <c r="AS325" s="91">
        <v>4.0350000000000001</v>
      </c>
      <c r="AT325" s="91">
        <v>0.03</v>
      </c>
      <c r="AU325" s="91">
        <v>0</v>
      </c>
      <c r="AV325" s="91" t="s">
        <v>148</v>
      </c>
      <c r="AW325" s="97">
        <v>4</v>
      </c>
      <c r="AX325" s="256">
        <f t="shared" si="156"/>
        <v>13.049999999999999</v>
      </c>
      <c r="AY325" s="256">
        <f t="shared" si="157"/>
        <v>0</v>
      </c>
      <c r="AZ325" s="275">
        <f>IF(C325="",0,(0.5*(_ML1*LPM)+0.5*(_ML1*HB)+0.66*(P*PR)+0.66*(_ML2*RDM)+0.66*(E*ER))*VLOOKUP(BATT,'Look Ups'!$U$3:$V$4,2,0))</f>
        <v>42.648443</v>
      </c>
      <c r="BA325" s="98"/>
      <c r="BB325" s="99"/>
      <c r="BC325" s="83">
        <v>12.6</v>
      </c>
      <c r="BD325" s="91">
        <v>3.55</v>
      </c>
      <c r="BE325" s="91">
        <v>3.83</v>
      </c>
      <c r="BF325" s="91">
        <v>0.18</v>
      </c>
      <c r="BG325" s="91">
        <v>11.8</v>
      </c>
      <c r="BH325" s="91"/>
      <c r="BI325" s="91"/>
      <c r="BJ325" s="91">
        <v>0</v>
      </c>
      <c r="BK325" s="91">
        <v>-0.05</v>
      </c>
      <c r="BL325" s="97">
        <v>0</v>
      </c>
      <c r="BM325" s="275">
        <f t="shared" si="158"/>
        <v>22.404203999999996</v>
      </c>
      <c r="BN325" s="319"/>
      <c r="BO325" s="320"/>
      <c r="BP325" s="321"/>
      <c r="BQ325" s="321"/>
      <c r="BR325" s="320"/>
      <c r="BS325" s="321"/>
      <c r="BT325" s="321"/>
      <c r="BU325" s="280">
        <f t="shared" si="159"/>
        <v>0</v>
      </c>
      <c r="BV325" s="322"/>
      <c r="BW325" s="320"/>
      <c r="BX325" s="320"/>
      <c r="BY325" s="320"/>
      <c r="BZ325" s="320"/>
      <c r="CA325" s="320"/>
      <c r="CB325" s="320"/>
      <c r="CC325" s="275">
        <f t="shared" si="160"/>
        <v>0</v>
      </c>
      <c r="CD325" s="98">
        <v>9.34</v>
      </c>
      <c r="CE325" s="91">
        <v>15.8</v>
      </c>
      <c r="CF325" s="91">
        <v>14.12</v>
      </c>
      <c r="CG325" s="91">
        <v>8.7899999999999991</v>
      </c>
      <c r="CH325" s="266">
        <f t="shared" si="161"/>
        <v>94.111349036402558</v>
      </c>
      <c r="CI325" s="320"/>
      <c r="CJ325" s="280">
        <f t="shared" si="162"/>
        <v>110.95333333333333</v>
      </c>
      <c r="CK325" s="83">
        <v>7.15</v>
      </c>
      <c r="CL325" s="91">
        <v>13.38</v>
      </c>
      <c r="CM325" s="91">
        <v>12.26</v>
      </c>
      <c r="CN325" s="91">
        <v>3.7</v>
      </c>
      <c r="CO325" s="256">
        <f t="shared" si="163"/>
        <v>51.748251748251747</v>
      </c>
      <c r="CP325" s="320"/>
      <c r="CQ325" s="256">
        <f t="shared" si="164"/>
        <v>46.899833333333341</v>
      </c>
      <c r="CR325" s="256" t="str">
        <f>IF(CO325&lt;'Look Ups'!$AC$4,"Yes","No")</f>
        <v>Yes</v>
      </c>
      <c r="CS325" s="293">
        <f>IF(CR325="Yes",MIN(150,('Look Ups'!$AC$4-PSCR)/('Look Ups'!$AC$4-'Look Ups'!$AC$3)*100),0)</f>
        <v>5.0349650349650688</v>
      </c>
      <c r="CT325" s="83"/>
      <c r="CU325" s="91"/>
      <c r="CV325" s="91"/>
      <c r="CW325" s="91"/>
      <c r="CX325" s="256" t="str">
        <f t="shared" si="165"/>
        <v/>
      </c>
      <c r="CY325" s="293">
        <f>IF(PUSCR&lt;'Look Ups'!$AC$4,MIN(150,('Look Ups'!$AC$4-PUSCR)/('Look Ups'!$AC$4-'Look Ups'!$AC$3)*100),0)</f>
        <v>0</v>
      </c>
      <c r="CZ325" s="275">
        <f>IF(PUSCR&lt;'Look Ups'!$AC$4,USCRF*(USCRL1+USCRL2)/4+(USCRMG-USCRF/2)*(USCRL1+USCRL2)/3,0)</f>
        <v>0</v>
      </c>
      <c r="DA325" s="294">
        <f t="shared" si="166"/>
        <v>1</v>
      </c>
      <c r="DB325" s="256">
        <f t="shared" si="167"/>
        <v>42.648443</v>
      </c>
      <c r="DC325" s="256">
        <f t="shared" si="168"/>
        <v>1</v>
      </c>
      <c r="DD325" s="256">
        <f t="shared" si="169"/>
        <v>22.404203999999996</v>
      </c>
      <c r="DE325" s="256">
        <f>IF(AZ325&gt;0,'Look Ups'!$S$3,0)</f>
        <v>1</v>
      </c>
      <c r="DF325" s="256">
        <f t="shared" si="170"/>
        <v>0</v>
      </c>
      <c r="DG325" s="256">
        <f t="shared" si="171"/>
        <v>0</v>
      </c>
      <c r="DH325" s="256">
        <f t="shared" si="172"/>
        <v>0</v>
      </c>
      <c r="DI325" s="280">
        <f t="shared" si="173"/>
        <v>0</v>
      </c>
      <c r="DJ325" s="295" t="str">
        <f t="shared" si="174"/>
        <v>valid</v>
      </c>
      <c r="DK325" s="266" t="str">
        <f t="shared" si="175"/>
        <v>valid</v>
      </c>
      <c r="DL325" s="267" t="str">
        <f t="shared" si="176"/>
        <v>MGScrSP</v>
      </c>
      <c r="DM325" s="294">
        <f t="shared" si="177"/>
        <v>65.052646999999993</v>
      </c>
      <c r="DN325" s="256">
        <f>IF(MSASP&gt;0,'Look Ups'!$AI$4*(ZVAL*MSASP-RSAG),0)</f>
        <v>26.564738800000001</v>
      </c>
      <c r="DO325" s="256">
        <f>IF(AND(MSASC&gt;0,(MSASC&gt;=0.36*RSAM)),('Look Ups'!$AI$3*(ZVAL*MSASC-RSAG)),(0))</f>
        <v>8.5734702666666696</v>
      </c>
      <c r="DP325" s="256">
        <f>IF(MSASP&gt;0,'Look Ups'!$AI$5*(ZVAL*MSASP-RSAG),0)</f>
        <v>24.793756213333339</v>
      </c>
      <c r="DQ325" s="256">
        <f>IF(MSASC&gt;0,'Look Ups'!$AI$6*(MSASC-RSAG),0)</f>
        <v>1.7146940533333344</v>
      </c>
      <c r="DR325" s="280">
        <f>'Look Ups'!$AI$7*MAX(IF(MSAUSC&gt;0,EUSC/100*(MSAUSC-RSAG),0),IF(CR325="Yes",ELSC/100*(MSASC-RSAG),0))</f>
        <v>0.30833659300699523</v>
      </c>
      <c r="DS325" s="280">
        <f t="shared" si="178"/>
        <v>15.353439479999999</v>
      </c>
      <c r="DT325" s="296">
        <f t="shared" si="179"/>
        <v>91.869433859673663</v>
      </c>
      <c r="DU325" s="14"/>
    </row>
    <row r="326" spans="1:125" ht="15.6" customHeight="1" x14ac:dyDescent="0.3">
      <c r="A326" s="4"/>
      <c r="B326" s="365"/>
      <c r="C326" s="369" t="s">
        <v>1066</v>
      </c>
      <c r="D326" s="370" t="s">
        <v>281</v>
      </c>
      <c r="E326" s="371" t="s">
        <v>1067</v>
      </c>
      <c r="F326" s="252">
        <f t="shared" ca="1" si="150"/>
        <v>0.89400000000000002</v>
      </c>
      <c r="G326" s="252" t="str">
        <f ca="1">IF(OR(FLSCR="ERROR",FLSPI="ERROR"),"No",IF(TODAY()-'Look Ups'!$D$4*365&gt;I326,"WP Applied","Yes"))</f>
        <v>WP Applied</v>
      </c>
      <c r="H326" s="253" t="str">
        <f t="shared" si="151"/>
        <v>Main-Genoa-Screacher (Upwind)-Spinnaker</v>
      </c>
      <c r="I326" s="1">
        <v>39739</v>
      </c>
      <c r="J326" s="1">
        <v>39748</v>
      </c>
      <c r="K326" s="87" t="s">
        <v>218</v>
      </c>
      <c r="L326" s="87" t="s">
        <v>241</v>
      </c>
      <c r="M326" s="207"/>
      <c r="N326" s="88" t="s">
        <v>271</v>
      </c>
      <c r="O326" s="88"/>
      <c r="P326" s="89"/>
      <c r="Q326" s="90">
        <v>7.42</v>
      </c>
      <c r="R326" s="87"/>
      <c r="S326" s="256">
        <f t="shared" si="152"/>
        <v>0.1855</v>
      </c>
      <c r="T326" s="117">
        <v>0.23</v>
      </c>
      <c r="U326" s="117"/>
      <c r="V326" s="258">
        <f t="shared" si="153"/>
        <v>7.1899999999999995</v>
      </c>
      <c r="W326" s="259">
        <f>IF(RL&gt;0,IF(RL&gt;'Look Ups'!Y$7,'Look Ups'!Y$8,('Look Ups'!Y$3*RL^3+'Look Ups'!Y$4*RL^2+'Look Ups'!Y$5*RL+'Look Ups'!Y$6)),0)</f>
        <v>0.29059639364700002</v>
      </c>
      <c r="X326" s="92">
        <v>970</v>
      </c>
      <c r="Y326" s="263">
        <f ca="1">IF(WDATE&lt;(TODAY()-'Look Ups'!$D$4*365),-WM*'Look Ups'!$D$5/100,0)</f>
        <v>-145.5</v>
      </c>
      <c r="Z326" s="103"/>
      <c r="AA326" s="109"/>
      <c r="AB326" s="109"/>
      <c r="AC326" s="265">
        <f>WCD+NC*'Look Ups'!$AF$3</f>
        <v>0</v>
      </c>
      <c r="AD326" s="265">
        <f ca="1">IF(RL&lt;'Look Ups'!AM$3,'Look Ups'!AM$4,IF(RL&gt;'Look Ups'!AM$5,'Look Ups'!AM$6,(RL-'Look Ups'!AM$3)/('Look Ups'!AM$5-'Look Ups'!AM$3)*('Look Ups'!AM$6-'Look Ups'!AM$4)+'Look Ups'!AM$4))/100*WS</f>
        <v>232.65890909090911</v>
      </c>
      <c r="AE326" s="269">
        <f t="shared" ca="1" si="154"/>
        <v>824.5</v>
      </c>
      <c r="AF326" s="267">
        <f t="shared" ca="1" si="155"/>
        <v>824.5</v>
      </c>
      <c r="AG326" s="94" t="s">
        <v>145</v>
      </c>
      <c r="AH326" s="95" t="s">
        <v>146</v>
      </c>
      <c r="AI326" s="96" t="s">
        <v>147</v>
      </c>
      <c r="AJ326" s="218"/>
      <c r="AK326" s="273">
        <f>IF(C326="",0,VLOOKUP(AG326,'Look Ups'!$F$3:$G$6,2,0)*VLOOKUP(AH326,'Look Ups'!$I$3:$J$5,2,0)*VLOOKUP(AI326,'Look Ups'!$L$3:$M$7,2,0)*IF(AJ326="",1,VLOOKUP(AJ326,'Look Ups'!$O$3:$P$4,2,0)))</f>
        <v>1</v>
      </c>
      <c r="AL326" s="83">
        <v>9.35</v>
      </c>
      <c r="AM326" s="91">
        <v>9.34</v>
      </c>
      <c r="AN326" s="91">
        <v>3.28</v>
      </c>
      <c r="AO326" s="91">
        <v>0.65</v>
      </c>
      <c r="AP326" s="91">
        <v>0.76</v>
      </c>
      <c r="AQ326" s="91">
        <v>8.85</v>
      </c>
      <c r="AR326" s="91">
        <v>0.14000000000000001</v>
      </c>
      <c r="AS326" s="91">
        <v>3.47</v>
      </c>
      <c r="AT326" s="91">
        <v>0.03</v>
      </c>
      <c r="AU326" s="91">
        <v>0.4</v>
      </c>
      <c r="AV326" s="91" t="s">
        <v>148</v>
      </c>
      <c r="AW326" s="97" t="s">
        <v>1068</v>
      </c>
      <c r="AX326" s="256">
        <f t="shared" si="156"/>
        <v>8.879999999999999</v>
      </c>
      <c r="AY326" s="256">
        <f t="shared" si="157"/>
        <v>1.3274999999999999</v>
      </c>
      <c r="AZ326" s="275">
        <f>IF(C326="",0,(0.5*(_ML1*LPM)+0.5*(_ML1*HB)+0.66*(P*PR)+0.66*(_ML2*RDM)+0.66*(E*ER))*VLOOKUP(BATT,'Look Ups'!$U$3:$V$4,2,0))</f>
        <v>23.944139999999997</v>
      </c>
      <c r="BA326" s="98"/>
      <c r="BB326" s="99"/>
      <c r="BC326" s="83">
        <v>8.33</v>
      </c>
      <c r="BD326" s="91">
        <v>2.79</v>
      </c>
      <c r="BE326" s="91">
        <v>3.14</v>
      </c>
      <c r="BF326" s="91">
        <v>0.13</v>
      </c>
      <c r="BG326" s="91">
        <v>7.37</v>
      </c>
      <c r="BH326" s="91"/>
      <c r="BI326" s="91"/>
      <c r="BJ326" s="91">
        <v>0.12</v>
      </c>
      <c r="BK326" s="91">
        <v>0.04</v>
      </c>
      <c r="BL326" s="97" t="s">
        <v>318</v>
      </c>
      <c r="BM326" s="275">
        <f t="shared" si="158"/>
        <v>12.693378000000003</v>
      </c>
      <c r="BN326" s="319"/>
      <c r="BO326" s="320"/>
      <c r="BP326" s="321"/>
      <c r="BQ326" s="321"/>
      <c r="BR326" s="320"/>
      <c r="BS326" s="321"/>
      <c r="BT326" s="321"/>
      <c r="BU326" s="280">
        <f t="shared" si="159"/>
        <v>0</v>
      </c>
      <c r="BV326" s="322"/>
      <c r="BW326" s="320"/>
      <c r="BX326" s="320"/>
      <c r="BY326" s="320"/>
      <c r="BZ326" s="320"/>
      <c r="CA326" s="320"/>
      <c r="CB326" s="320"/>
      <c r="CC326" s="275">
        <f t="shared" si="160"/>
        <v>0</v>
      </c>
      <c r="CD326" s="98">
        <v>6.78</v>
      </c>
      <c r="CE326" s="91">
        <v>11.23</v>
      </c>
      <c r="CF326" s="91">
        <v>10.1</v>
      </c>
      <c r="CG326" s="91">
        <v>6.06</v>
      </c>
      <c r="CH326" s="266">
        <f t="shared" si="161"/>
        <v>89.380530973451329</v>
      </c>
      <c r="CI326" s="320"/>
      <c r="CJ326" s="280">
        <f t="shared" si="162"/>
        <v>55.138049999999993</v>
      </c>
      <c r="CK326" s="83">
        <v>4.96</v>
      </c>
      <c r="CL326" s="91">
        <v>9.18</v>
      </c>
      <c r="CM326" s="91">
        <v>8.0399999999999991</v>
      </c>
      <c r="CN326" s="91">
        <v>2.57</v>
      </c>
      <c r="CO326" s="256">
        <f t="shared" si="163"/>
        <v>51.814516129032249</v>
      </c>
      <c r="CP326" s="320"/>
      <c r="CQ326" s="256">
        <f t="shared" si="164"/>
        <v>21.869399999999999</v>
      </c>
      <c r="CR326" s="256" t="str">
        <f>IF(CO326&lt;'Look Ups'!$AC$4,"Yes","No")</f>
        <v>Yes</v>
      </c>
      <c r="CS326" s="293">
        <f>IF(CR326="Yes",MIN(150,('Look Ups'!$AC$4-PSCR)/('Look Ups'!$AC$4-'Look Ups'!$AC$3)*100),0)</f>
        <v>3.7096774193550175</v>
      </c>
      <c r="CT326" s="83"/>
      <c r="CU326" s="91"/>
      <c r="CV326" s="91"/>
      <c r="CW326" s="91"/>
      <c r="CX326" s="256" t="str">
        <f t="shared" si="165"/>
        <v/>
      </c>
      <c r="CY326" s="293">
        <f>IF(PUSCR&lt;'Look Ups'!$AC$4,MIN(150,('Look Ups'!$AC$4-PUSCR)/('Look Ups'!$AC$4-'Look Ups'!$AC$3)*100),0)</f>
        <v>0</v>
      </c>
      <c r="CZ326" s="275">
        <f>IF(PUSCR&lt;'Look Ups'!$AC$4,USCRF*(USCRL1+USCRL2)/4+(USCRMG-USCRF/2)*(USCRL1+USCRL2)/3,0)</f>
        <v>0</v>
      </c>
      <c r="DA326" s="294">
        <f t="shared" si="166"/>
        <v>1</v>
      </c>
      <c r="DB326" s="256">
        <f t="shared" si="167"/>
        <v>25.271639999999998</v>
      </c>
      <c r="DC326" s="256">
        <f t="shared" si="168"/>
        <v>1</v>
      </c>
      <c r="DD326" s="256">
        <f t="shared" si="169"/>
        <v>12.693378000000003</v>
      </c>
      <c r="DE326" s="256">
        <f>IF(AZ326&gt;0,'Look Ups'!$S$3,0)</f>
        <v>1</v>
      </c>
      <c r="DF326" s="256">
        <f t="shared" si="170"/>
        <v>0</v>
      </c>
      <c r="DG326" s="256">
        <f t="shared" si="171"/>
        <v>0</v>
      </c>
      <c r="DH326" s="256">
        <f t="shared" si="172"/>
        <v>0</v>
      </c>
      <c r="DI326" s="280">
        <f t="shared" si="173"/>
        <v>0</v>
      </c>
      <c r="DJ326" s="295" t="str">
        <f t="shared" si="174"/>
        <v>valid</v>
      </c>
      <c r="DK326" s="266" t="str">
        <f t="shared" si="175"/>
        <v>valid</v>
      </c>
      <c r="DL326" s="267" t="str">
        <f t="shared" si="176"/>
        <v>MGScrSP</v>
      </c>
      <c r="DM326" s="294">
        <f t="shared" si="177"/>
        <v>37.965018000000001</v>
      </c>
      <c r="DN326" s="256">
        <f>IF(MSASP&gt;0,'Look Ups'!$AI$4*(ZVAL*MSASP-RSAG),0)</f>
        <v>12.733401599999997</v>
      </c>
      <c r="DO326" s="256">
        <f>IF(AND(MSASC&gt;0,(MSASC&gt;=0.36*RSAM)),('Look Ups'!$AI$3*(ZVAL*MSASC-RSAG)),(0))</f>
        <v>3.2116076999999983</v>
      </c>
      <c r="DP326" s="256">
        <f>IF(MSASP&gt;0,'Look Ups'!$AI$5*(ZVAL*MSASP-RSAG),0)</f>
        <v>11.884508159999998</v>
      </c>
      <c r="DQ326" s="256">
        <f>IF(MSASC&gt;0,'Look Ups'!$AI$6*(MSASC-RSAG),0)</f>
        <v>0.64232153999999975</v>
      </c>
      <c r="DR326" s="280">
        <f>'Look Ups'!$AI$7*MAX(IF(MSAUSC&gt;0,EUSC/100*(MSAUSC-RSAG),0),IF(CR326="Yes",ELSC/100*(MSASC-RSAG),0))</f>
        <v>8.5100204032262136E-2</v>
      </c>
      <c r="DS326" s="280">
        <f t="shared" si="178"/>
        <v>9.0977903999999992</v>
      </c>
      <c r="DT326" s="296">
        <f t="shared" si="179"/>
        <v>50.576947904032259</v>
      </c>
      <c r="DU326" s="14"/>
    </row>
    <row r="327" spans="1:125" ht="15.6" customHeight="1" x14ac:dyDescent="0.3">
      <c r="A327" s="4"/>
      <c r="B327" s="365"/>
      <c r="C327" s="369" t="s">
        <v>1069</v>
      </c>
      <c r="D327" s="370" t="s">
        <v>887</v>
      </c>
      <c r="E327" s="371" t="s">
        <v>1070</v>
      </c>
      <c r="F327" s="252">
        <f t="shared" ca="1" si="150"/>
        <v>1.024</v>
      </c>
      <c r="G327" s="252" t="str">
        <f ca="1">IF(OR(FLSCR="ERROR",FLSPI="ERROR"),"No",IF(TODAY()-'Look Ups'!$D$4*365&gt;I327,"WP Applied","Yes"))</f>
        <v>WP Applied</v>
      </c>
      <c r="H327" s="253" t="str">
        <f t="shared" si="151"/>
        <v>Main-Genoa-Screacher (Upwind)-Spinnaker</v>
      </c>
      <c r="I327" s="1">
        <v>40087</v>
      </c>
      <c r="J327" s="1">
        <v>40087</v>
      </c>
      <c r="K327" s="87" t="s">
        <v>607</v>
      </c>
      <c r="L327" s="87" t="s">
        <v>241</v>
      </c>
      <c r="M327" s="207"/>
      <c r="N327" s="88" t="s">
        <v>165</v>
      </c>
      <c r="O327" s="88"/>
      <c r="P327" s="89"/>
      <c r="Q327" s="90">
        <v>9.34</v>
      </c>
      <c r="R327" s="87"/>
      <c r="S327" s="256">
        <f t="shared" si="152"/>
        <v>0.23350000000000001</v>
      </c>
      <c r="T327" s="117">
        <v>0.12</v>
      </c>
      <c r="U327" s="117">
        <v>0</v>
      </c>
      <c r="V327" s="258">
        <f t="shared" si="153"/>
        <v>9.2200000000000006</v>
      </c>
      <c r="W327" s="259">
        <f>IF(RL&gt;0,IF(RL&gt;'Look Ups'!Y$7,'Look Ups'!Y$8,('Look Ups'!Y$3*RL^3+'Look Ups'!Y$4*RL^2+'Look Ups'!Y$5*RL+'Look Ups'!Y$6)),0)</f>
        <v>0.29714289578399999</v>
      </c>
      <c r="X327" s="92">
        <v>1590</v>
      </c>
      <c r="Y327" s="263">
        <f ca="1">IF(WDATE&lt;(TODAY()-'Look Ups'!$D$4*365),-WM*'Look Ups'!$D$5/100,0)</f>
        <v>-238.5</v>
      </c>
      <c r="Z327" s="103"/>
      <c r="AA327" s="109"/>
      <c r="AB327" s="109"/>
      <c r="AC327" s="265">
        <f>WCD+NC*'Look Ups'!$AF$3</f>
        <v>0</v>
      </c>
      <c r="AD327" s="265">
        <f ca="1">IF(RL&lt;'Look Ups'!AM$3,'Look Ups'!AM$4,IF(RL&gt;'Look Ups'!AM$5,'Look Ups'!AM$6,(RL-'Look Ups'!AM$3)/('Look Ups'!AM$5-'Look Ups'!AM$3)*('Look Ups'!AM$6-'Look Ups'!AM$4)+'Look Ups'!AM$4))/100*WS</f>
        <v>281.6034545454545</v>
      </c>
      <c r="AE327" s="269">
        <f t="shared" ca="1" si="154"/>
        <v>1351.5</v>
      </c>
      <c r="AF327" s="267">
        <f t="shared" ca="1" si="155"/>
        <v>1351.5</v>
      </c>
      <c r="AG327" s="94" t="s">
        <v>145</v>
      </c>
      <c r="AH327" s="95" t="s">
        <v>146</v>
      </c>
      <c r="AI327" s="96" t="s">
        <v>147</v>
      </c>
      <c r="AJ327" s="218"/>
      <c r="AK327" s="273">
        <f>IF(C327="",0,VLOOKUP(AG327,'Look Ups'!$F$3:$G$6,2,0)*VLOOKUP(AH327,'Look Ups'!$I$3:$J$5,2,0)*VLOOKUP(AI327,'Look Ups'!$L$3:$M$7,2,0)*IF(AJ327="",1,VLOOKUP(AJ327,'Look Ups'!$O$3:$P$4,2,0)))</f>
        <v>1</v>
      </c>
      <c r="AL327" s="83">
        <v>13.19</v>
      </c>
      <c r="AM327" s="91">
        <v>12.92</v>
      </c>
      <c r="AN327" s="91">
        <v>4.05</v>
      </c>
      <c r="AO327" s="91">
        <v>1.7000000000000002</v>
      </c>
      <c r="AP327" s="91">
        <v>0.43</v>
      </c>
      <c r="AQ327" s="91">
        <v>13.15</v>
      </c>
      <c r="AR327" s="91">
        <v>0.19</v>
      </c>
      <c r="AS327" s="91">
        <v>4.1399999999999997</v>
      </c>
      <c r="AT327" s="91">
        <v>7.0000000000000007E-2</v>
      </c>
      <c r="AU327" s="91">
        <v>0.60000000000000009</v>
      </c>
      <c r="AV327" s="91" t="s">
        <v>148</v>
      </c>
      <c r="AW327" s="97">
        <v>0</v>
      </c>
      <c r="AX327" s="256">
        <f t="shared" si="156"/>
        <v>13.22</v>
      </c>
      <c r="AY327" s="256">
        <f t="shared" si="157"/>
        <v>2.9587500000000007</v>
      </c>
      <c r="AZ327" s="275">
        <f>IF(C327="",0,(0.5*(_ML1*LPM)+0.5*(_ML1*HB)+0.66*(P*PR)+0.66*(_ML2*RDM)+0.66*(E*ER))*VLOOKUP(BATT,'Look Ups'!$U$3:$V$4,2,0))</f>
        <v>43.428224</v>
      </c>
      <c r="BA327" s="98"/>
      <c r="BB327" s="99"/>
      <c r="BC327" s="83">
        <v>10.97</v>
      </c>
      <c r="BD327" s="91">
        <v>3.56</v>
      </c>
      <c r="BE327" s="91">
        <v>3.8</v>
      </c>
      <c r="BF327" s="91">
        <v>0.13</v>
      </c>
      <c r="BG327" s="91">
        <v>10.14</v>
      </c>
      <c r="BH327" s="91"/>
      <c r="BI327" s="91"/>
      <c r="BJ327" s="91">
        <v>0.28999999999999998</v>
      </c>
      <c r="BK327" s="91">
        <v>0.09</v>
      </c>
      <c r="BL327" s="97">
        <v>0</v>
      </c>
      <c r="BM327" s="275">
        <f t="shared" si="158"/>
        <v>22.445053999999999</v>
      </c>
      <c r="BN327" s="319"/>
      <c r="BO327" s="320"/>
      <c r="BP327" s="321"/>
      <c r="BQ327" s="321"/>
      <c r="BR327" s="320"/>
      <c r="BS327" s="321"/>
      <c r="BT327" s="321"/>
      <c r="BU327" s="280">
        <f t="shared" si="159"/>
        <v>0</v>
      </c>
      <c r="BV327" s="322"/>
      <c r="BW327" s="320"/>
      <c r="BX327" s="320"/>
      <c r="BY327" s="320"/>
      <c r="BZ327" s="320"/>
      <c r="CA327" s="320"/>
      <c r="CB327" s="320"/>
      <c r="CC327" s="275">
        <f t="shared" si="160"/>
        <v>0</v>
      </c>
      <c r="CD327" s="98">
        <v>8.48</v>
      </c>
      <c r="CE327" s="91">
        <v>13.78</v>
      </c>
      <c r="CF327" s="91">
        <v>11.26</v>
      </c>
      <c r="CG327" s="91">
        <v>6.86</v>
      </c>
      <c r="CH327" s="266">
        <f t="shared" si="161"/>
        <v>80.896226415094347</v>
      </c>
      <c r="CI327" s="320"/>
      <c r="CJ327" s="280">
        <f t="shared" si="162"/>
        <v>74.953066666666672</v>
      </c>
      <c r="CK327" s="83">
        <v>5.78</v>
      </c>
      <c r="CL327" s="91">
        <v>12.69</v>
      </c>
      <c r="CM327" s="91">
        <v>11</v>
      </c>
      <c r="CN327" s="91">
        <v>2.91</v>
      </c>
      <c r="CO327" s="256">
        <f t="shared" si="163"/>
        <v>50.346020761245683</v>
      </c>
      <c r="CP327" s="320"/>
      <c r="CQ327" s="256">
        <f t="shared" si="164"/>
        <v>34.389983333333333</v>
      </c>
      <c r="CR327" s="256" t="str">
        <f>IF(CO327&lt;'Look Ups'!$AC$4,"Yes","No")</f>
        <v>Yes</v>
      </c>
      <c r="CS327" s="293">
        <f>IF(CR327="Yes",MIN(150,('Look Ups'!$AC$4-PSCR)/('Look Ups'!$AC$4-'Look Ups'!$AC$3)*100),0)</f>
        <v>33.079584775086346</v>
      </c>
      <c r="CT327" s="83"/>
      <c r="CU327" s="91"/>
      <c r="CV327" s="91"/>
      <c r="CW327" s="91"/>
      <c r="CX327" s="256" t="str">
        <f t="shared" si="165"/>
        <v/>
      </c>
      <c r="CY327" s="293">
        <f>IF(PUSCR&lt;'Look Ups'!$AC$4,MIN(150,('Look Ups'!$AC$4-PUSCR)/('Look Ups'!$AC$4-'Look Ups'!$AC$3)*100),0)</f>
        <v>0</v>
      </c>
      <c r="CZ327" s="275">
        <f>IF(PUSCR&lt;'Look Ups'!$AC$4,USCRF*(USCRL1+USCRL2)/4+(USCRMG-USCRF/2)*(USCRL1+USCRL2)/3,0)</f>
        <v>0</v>
      </c>
      <c r="DA327" s="294">
        <f t="shared" si="166"/>
        <v>1</v>
      </c>
      <c r="DB327" s="256">
        <f t="shared" si="167"/>
        <v>46.386974000000002</v>
      </c>
      <c r="DC327" s="256">
        <f t="shared" si="168"/>
        <v>1</v>
      </c>
      <c r="DD327" s="256">
        <f t="shared" si="169"/>
        <v>22.445053999999999</v>
      </c>
      <c r="DE327" s="256">
        <f>IF(AZ327&gt;0,'Look Ups'!$S$3,0)</f>
        <v>1</v>
      </c>
      <c r="DF327" s="256">
        <f t="shared" si="170"/>
        <v>0</v>
      </c>
      <c r="DG327" s="256">
        <f t="shared" si="171"/>
        <v>0</v>
      </c>
      <c r="DH327" s="256">
        <f t="shared" si="172"/>
        <v>0</v>
      </c>
      <c r="DI327" s="280">
        <f t="shared" si="173"/>
        <v>0</v>
      </c>
      <c r="DJ327" s="295" t="str">
        <f t="shared" si="174"/>
        <v>valid</v>
      </c>
      <c r="DK327" s="266" t="str">
        <f t="shared" si="175"/>
        <v>valid</v>
      </c>
      <c r="DL327" s="267" t="str">
        <f t="shared" si="176"/>
        <v>MGScrSP</v>
      </c>
      <c r="DM327" s="294">
        <f t="shared" si="177"/>
        <v>68.832028000000008</v>
      </c>
      <c r="DN327" s="256">
        <f>IF(MSASP&gt;0,'Look Ups'!$AI$4*(ZVAL*MSASP-RSAG),0)</f>
        <v>15.752403800000002</v>
      </c>
      <c r="DO327" s="256">
        <f>IF(AND(MSASC&gt;0,(MSASC&gt;=0.36*RSAM)),('Look Ups'!$AI$3*(ZVAL*MSASC-RSAG)),(0))</f>
        <v>4.1807252666666672</v>
      </c>
      <c r="DP327" s="256">
        <f>IF(MSASP&gt;0,'Look Ups'!$AI$5*(ZVAL*MSASP-RSAG),0)</f>
        <v>14.70224354666667</v>
      </c>
      <c r="DQ327" s="256">
        <f>IF(MSASC&gt;0,'Look Ups'!$AI$6*(MSASC-RSAG),0)</f>
        <v>0.83614505333333344</v>
      </c>
      <c r="DR327" s="280">
        <f>'Look Ups'!$AI$7*MAX(IF(MSAUSC&gt;0,EUSC/100*(MSAUSC-RSAG),0),IF(CR327="Yes",ELSC/100*(MSASC-RSAG),0))</f>
        <v>0.98783325628603913</v>
      </c>
      <c r="DS327" s="280">
        <f t="shared" si="178"/>
        <v>16.69931064</v>
      </c>
      <c r="DT327" s="296">
        <f t="shared" si="179"/>
        <v>85.358249856286051</v>
      </c>
      <c r="DU327" s="14"/>
    </row>
    <row r="328" spans="1:125" ht="15.6" customHeight="1" x14ac:dyDescent="0.3">
      <c r="A328" s="4"/>
      <c r="B328" s="365"/>
      <c r="C328" s="369" t="s">
        <v>1071</v>
      </c>
      <c r="D328" s="370" t="s">
        <v>1072</v>
      </c>
      <c r="E328" s="371" t="s">
        <v>235</v>
      </c>
      <c r="F328" s="252">
        <f t="shared" ca="1" si="150"/>
        <v>0.80600000000000005</v>
      </c>
      <c r="G328" s="252" t="str">
        <f ca="1">IF(OR(FLSCR="ERROR",FLSPI="ERROR"),"No",IF(TODAY()-'Look Ups'!$D$4*365&gt;I328,"WP Applied","Yes"))</f>
        <v>WP Applied</v>
      </c>
      <c r="H328" s="253" t="str">
        <f t="shared" si="151"/>
        <v>Main-Genoa-Spinnaker</v>
      </c>
      <c r="I328" s="1">
        <v>37878</v>
      </c>
      <c r="J328" s="1">
        <v>40468</v>
      </c>
      <c r="K328" s="87" t="s">
        <v>763</v>
      </c>
      <c r="L328" s="87" t="s">
        <v>192</v>
      </c>
      <c r="M328" s="207"/>
      <c r="N328" s="88" t="s">
        <v>143</v>
      </c>
      <c r="O328" s="88" t="s">
        <v>154</v>
      </c>
      <c r="P328" s="89"/>
      <c r="Q328" s="90">
        <v>7.88</v>
      </c>
      <c r="R328" s="87"/>
      <c r="S328" s="256">
        <f t="shared" si="152"/>
        <v>0.19700000000000001</v>
      </c>
      <c r="T328" s="117">
        <v>0.08</v>
      </c>
      <c r="U328" s="117">
        <v>0</v>
      </c>
      <c r="V328" s="258">
        <f t="shared" si="153"/>
        <v>7.8</v>
      </c>
      <c r="W328" s="259">
        <f>IF(RL&gt;0,IF(RL&gt;'Look Ups'!Y$7,'Look Ups'!Y$8,('Look Ups'!Y$3*RL^3+'Look Ups'!Y$4*RL^2+'Look Ups'!Y$5*RL+'Look Ups'!Y$6)),0)</f>
        <v>0.29308421600000001</v>
      </c>
      <c r="X328" s="92">
        <v>1230</v>
      </c>
      <c r="Y328" s="263">
        <f ca="1">IF(WDATE&lt;(TODAY()-'Look Ups'!$D$4*365),-WM*'Look Ups'!$D$5/100,0)</f>
        <v>-184.5</v>
      </c>
      <c r="Z328" s="103"/>
      <c r="AA328" s="109"/>
      <c r="AB328" s="109"/>
      <c r="AC328" s="265">
        <f>WCD+NC*'Look Ups'!$AF$3</f>
        <v>0</v>
      </c>
      <c r="AD328" s="265">
        <f ca="1">IF(RL&lt;'Look Ups'!AM$3,'Look Ups'!AM$4,IF(RL&gt;'Look Ups'!AM$5,'Look Ups'!AM$6,(RL-'Look Ups'!AM$3)/('Look Ups'!AM$5-'Look Ups'!AM$3)*('Look Ups'!AM$6-'Look Ups'!AM$4)+'Look Ups'!AM$4))/100*WS</f>
        <v>271.83</v>
      </c>
      <c r="AE328" s="269">
        <f t="shared" ca="1" si="154"/>
        <v>1045.5</v>
      </c>
      <c r="AF328" s="267">
        <f t="shared" ca="1" si="155"/>
        <v>1045.5</v>
      </c>
      <c r="AG328" s="94" t="s">
        <v>155</v>
      </c>
      <c r="AH328" s="95" t="s">
        <v>146</v>
      </c>
      <c r="AI328" s="96" t="s">
        <v>147</v>
      </c>
      <c r="AJ328" s="218"/>
      <c r="AK328" s="273">
        <f>IF(C328="",0,VLOOKUP(AG328,'Look Ups'!$F$3:$G$6,2,0)*VLOOKUP(AH328,'Look Ups'!$I$3:$J$5,2,0)*VLOOKUP(AI328,'Look Ups'!$L$3:$M$7,2,0)*IF(AJ328="",1,VLOOKUP(AJ328,'Look Ups'!$O$3:$P$4,2,0)))</f>
        <v>0.99</v>
      </c>
      <c r="AL328" s="83">
        <v>9.42</v>
      </c>
      <c r="AM328" s="91">
        <v>8.16</v>
      </c>
      <c r="AN328" s="91">
        <v>3.25</v>
      </c>
      <c r="AO328" s="91">
        <v>0.78</v>
      </c>
      <c r="AP328" s="91">
        <v>0.54</v>
      </c>
      <c r="AQ328" s="91">
        <v>9.0299999999999994</v>
      </c>
      <c r="AR328" s="91">
        <v>0.1</v>
      </c>
      <c r="AS328" s="91">
        <v>3.41</v>
      </c>
      <c r="AT328" s="91">
        <v>0.03</v>
      </c>
      <c r="AU328" s="91"/>
      <c r="AV328" s="91" t="s">
        <v>148</v>
      </c>
      <c r="AW328" s="97">
        <v>0</v>
      </c>
      <c r="AX328" s="256">
        <f t="shared" si="156"/>
        <v>9.0599999999999987</v>
      </c>
      <c r="AY328" s="256">
        <f t="shared" si="157"/>
        <v>0</v>
      </c>
      <c r="AZ328" s="275">
        <f>IF(C328="",0,(0.5*(_ML1*LPM)+0.5*(_ML1*HB)+0.66*(P*PR)+0.66*(_ML2*RDM)+0.66*(E*ER))*VLOOKUP(BATT,'Look Ups'!$U$3:$V$4,2,0))</f>
        <v>22.553021999999999</v>
      </c>
      <c r="BA328" s="98"/>
      <c r="BB328" s="99"/>
      <c r="BC328" s="83">
        <v>8.6999999999999993</v>
      </c>
      <c r="BD328" s="91">
        <v>2.54</v>
      </c>
      <c r="BE328" s="91">
        <v>2.91</v>
      </c>
      <c r="BF328" s="91">
        <v>7.0000000000000007E-2</v>
      </c>
      <c r="BG328" s="91">
        <v>7.76</v>
      </c>
      <c r="BH328" s="91"/>
      <c r="BI328" s="91"/>
      <c r="BJ328" s="91">
        <v>-7.0000000000000007E-2</v>
      </c>
      <c r="BK328" s="91">
        <v>0</v>
      </c>
      <c r="BL328" s="97" t="s">
        <v>1073</v>
      </c>
      <c r="BM328" s="275">
        <f t="shared" si="158"/>
        <v>10.82493</v>
      </c>
      <c r="BN328" s="319"/>
      <c r="BO328" s="320"/>
      <c r="BP328" s="321"/>
      <c r="BQ328" s="321"/>
      <c r="BR328" s="320"/>
      <c r="BS328" s="321"/>
      <c r="BT328" s="321"/>
      <c r="BU328" s="280">
        <f t="shared" si="159"/>
        <v>0</v>
      </c>
      <c r="BV328" s="322"/>
      <c r="BW328" s="320"/>
      <c r="BX328" s="320"/>
      <c r="BY328" s="320"/>
      <c r="BZ328" s="320"/>
      <c r="CA328" s="320"/>
      <c r="CB328" s="320"/>
      <c r="CC328" s="275">
        <f t="shared" si="160"/>
        <v>0</v>
      </c>
      <c r="CD328" s="98">
        <v>6.1</v>
      </c>
      <c r="CE328" s="91">
        <v>11.95</v>
      </c>
      <c r="CF328" s="91">
        <v>9.4499999999999993</v>
      </c>
      <c r="CG328" s="91">
        <v>5.49</v>
      </c>
      <c r="CH328" s="266">
        <f t="shared" si="161"/>
        <v>90.000000000000014</v>
      </c>
      <c r="CI328" s="320"/>
      <c r="CJ328" s="280">
        <f t="shared" si="162"/>
        <v>50.040333333333336</v>
      </c>
      <c r="CK328" s="83"/>
      <c r="CL328" s="91"/>
      <c r="CM328" s="91"/>
      <c r="CN328" s="91"/>
      <c r="CO328" s="256" t="str">
        <f t="shared" si="163"/>
        <v/>
      </c>
      <c r="CP328" s="320"/>
      <c r="CQ328" s="256">
        <f t="shared" si="164"/>
        <v>0</v>
      </c>
      <c r="CR328" s="256" t="str">
        <f>IF(CO328&lt;'Look Ups'!$AC$4,"Yes","No")</f>
        <v>No</v>
      </c>
      <c r="CS328" s="293">
        <f>IF(CR328="Yes",MIN(150,('Look Ups'!$AC$4-PSCR)/('Look Ups'!$AC$4-'Look Ups'!$AC$3)*100),0)</f>
        <v>0</v>
      </c>
      <c r="CT328" s="83"/>
      <c r="CU328" s="91"/>
      <c r="CV328" s="91"/>
      <c r="CW328" s="91"/>
      <c r="CX328" s="256" t="str">
        <f t="shared" si="165"/>
        <v/>
      </c>
      <c r="CY328" s="293">
        <f>IF(PUSCR&lt;'Look Ups'!$AC$4,MIN(150,('Look Ups'!$AC$4-PUSCR)/('Look Ups'!$AC$4-'Look Ups'!$AC$3)*100),0)</f>
        <v>0</v>
      </c>
      <c r="CZ328" s="275">
        <f>IF(PUSCR&lt;'Look Ups'!$AC$4,USCRF*(USCRL1+USCRL2)/4+(USCRMG-USCRF/2)*(USCRL1+USCRL2)/3,0)</f>
        <v>0</v>
      </c>
      <c r="DA328" s="294">
        <f t="shared" si="166"/>
        <v>1</v>
      </c>
      <c r="DB328" s="256">
        <f t="shared" si="167"/>
        <v>22.553021999999999</v>
      </c>
      <c r="DC328" s="256">
        <f t="shared" si="168"/>
        <v>1</v>
      </c>
      <c r="DD328" s="256">
        <f t="shared" si="169"/>
        <v>10.82493</v>
      </c>
      <c r="DE328" s="256">
        <f>IF(AZ328&gt;0,'Look Ups'!$S$3,0)</f>
        <v>1</v>
      </c>
      <c r="DF328" s="256">
        <f t="shared" si="170"/>
        <v>0</v>
      </c>
      <c r="DG328" s="256">
        <f t="shared" si="171"/>
        <v>0</v>
      </c>
      <c r="DH328" s="256">
        <f t="shared" si="172"/>
        <v>0</v>
      </c>
      <c r="DI328" s="280">
        <f t="shared" si="173"/>
        <v>0</v>
      </c>
      <c r="DJ328" s="295" t="str">
        <f t="shared" si="174"/>
        <v>-</v>
      </c>
      <c r="DK328" s="266" t="str">
        <f t="shared" si="175"/>
        <v>valid</v>
      </c>
      <c r="DL328" s="267" t="str">
        <f t="shared" si="176"/>
        <v>MGSP</v>
      </c>
      <c r="DM328" s="294">
        <f t="shared" si="177"/>
        <v>33.377952000000001</v>
      </c>
      <c r="DN328" s="256">
        <f>IF(MSASP&gt;0,'Look Ups'!$AI$4*(ZVAL*MSASP-RSAG),0)</f>
        <v>11.764621</v>
      </c>
      <c r="DO328" s="256">
        <f>IF(AND(MSASC&gt;0,(MSASC&gt;=0.36*RSAM)),('Look Ups'!$AI$3*(ZVAL*MSASC-RSAG)),(0))</f>
        <v>0</v>
      </c>
      <c r="DP328" s="256">
        <f>IF(MSASP&gt;0,'Look Ups'!$AI$5*(ZVAL*MSASP-RSAG),0)</f>
        <v>10.980312933333336</v>
      </c>
      <c r="DQ328" s="256">
        <f>IF(MSASC&gt;0,'Look Ups'!$AI$6*(MSASC-RSAG),0)</f>
        <v>0</v>
      </c>
      <c r="DR328" s="280">
        <f>'Look Ups'!$AI$7*MAX(IF(MSAUSC&gt;0,EUSC/100*(MSAUSC-RSAG),0),IF(CR328="Yes",ELSC/100*(MSASC-RSAG),0))</f>
        <v>0</v>
      </c>
      <c r="DS328" s="280">
        <f t="shared" si="178"/>
        <v>8.1190879199999983</v>
      </c>
      <c r="DT328" s="296">
        <f t="shared" si="179"/>
        <v>45.142572999999999</v>
      </c>
      <c r="DU328" s="14"/>
    </row>
    <row r="329" spans="1:125" ht="15.6" customHeight="1" x14ac:dyDescent="0.3">
      <c r="A329" s="4"/>
      <c r="B329" s="365"/>
      <c r="C329" s="369" t="s">
        <v>1074</v>
      </c>
      <c r="D329" s="370" t="s">
        <v>1075</v>
      </c>
      <c r="E329" s="371" t="s">
        <v>1076</v>
      </c>
      <c r="F329" s="252">
        <f t="shared" ca="1" si="150"/>
        <v>0.83599999999999997</v>
      </c>
      <c r="G329" s="252" t="str">
        <f ca="1">IF(OR(FLSCR="ERROR",FLSPI="ERROR"),"No",IF(TODAY()-'Look Ups'!$D$4*365&gt;I329,"WP Applied","Yes"))</f>
        <v>WP Applied</v>
      </c>
      <c r="H329" s="253" t="str">
        <f t="shared" si="151"/>
        <v>Main-Genoa-Spinnaker</v>
      </c>
      <c r="I329" s="1">
        <v>38421</v>
      </c>
      <c r="J329" s="1"/>
      <c r="K329" s="87" t="s">
        <v>959</v>
      </c>
      <c r="L329" s="87" t="s">
        <v>182</v>
      </c>
      <c r="M329" s="207"/>
      <c r="N329" s="88" t="s">
        <v>165</v>
      </c>
      <c r="O329" s="88"/>
      <c r="P329" s="89">
        <v>6.2</v>
      </c>
      <c r="Q329" s="90">
        <v>11.85</v>
      </c>
      <c r="R329" s="87"/>
      <c r="S329" s="256">
        <f t="shared" si="152"/>
        <v>0.29625000000000001</v>
      </c>
      <c r="T329" s="117">
        <v>7.0000000000000007E-2</v>
      </c>
      <c r="U329" s="117">
        <v>0</v>
      </c>
      <c r="V329" s="258">
        <f t="shared" si="153"/>
        <v>11.78</v>
      </c>
      <c r="W329" s="259">
        <f>IF(RL&gt;0,IF(RL&gt;'Look Ups'!Y$7,'Look Ups'!Y$8,('Look Ups'!Y$3*RL^3+'Look Ups'!Y$4*RL^2+'Look Ups'!Y$5*RL+'Look Ups'!Y$6)),0)</f>
        <v>0.29987906781600004</v>
      </c>
      <c r="X329" s="92">
        <v>4045</v>
      </c>
      <c r="Y329" s="263">
        <f ca="1">IF(WDATE&lt;(TODAY()-'Look Ups'!$D$4*365),-WM*'Look Ups'!$D$5/100,0)</f>
        <v>-606.75</v>
      </c>
      <c r="Z329" s="103"/>
      <c r="AA329" s="109"/>
      <c r="AB329" s="109"/>
      <c r="AC329" s="265">
        <f>WCD+NC*'Look Ups'!$AF$3</f>
        <v>0</v>
      </c>
      <c r="AD329" s="265">
        <f ca="1">IF(RL&lt;'Look Ups'!AM$3,'Look Ups'!AM$4,IF(RL&gt;'Look Ups'!AM$5,'Look Ups'!AM$6,(RL-'Look Ups'!AM$3)/('Look Ups'!AM$5-'Look Ups'!AM$3)*('Look Ups'!AM$6-'Look Ups'!AM$4)+'Look Ups'!AM$4))/100*WS</f>
        <v>396.33645454545456</v>
      </c>
      <c r="AE329" s="269">
        <f t="shared" ca="1" si="154"/>
        <v>3438.25</v>
      </c>
      <c r="AF329" s="267">
        <f t="shared" ca="1" si="155"/>
        <v>3438.25</v>
      </c>
      <c r="AG329" s="94" t="s">
        <v>145</v>
      </c>
      <c r="AH329" s="95" t="s">
        <v>146</v>
      </c>
      <c r="AI329" s="96" t="s">
        <v>147</v>
      </c>
      <c r="AJ329" s="218"/>
      <c r="AK329" s="273">
        <f>IF(C329="",0,VLOOKUP(AG329,'Look Ups'!$F$3:$G$6,2,0)*VLOOKUP(AH329,'Look Ups'!$I$3:$J$5,2,0)*VLOOKUP(AI329,'Look Ups'!$L$3:$M$7,2,0)*IF(AJ329="",1,VLOOKUP(AJ329,'Look Ups'!$O$3:$P$4,2,0)))</f>
        <v>1</v>
      </c>
      <c r="AL329" s="83">
        <v>13.4</v>
      </c>
      <c r="AM329" s="91">
        <v>13.4</v>
      </c>
      <c r="AN329" s="91">
        <v>4.4000000000000004</v>
      </c>
      <c r="AO329" s="91">
        <v>0.28000000000000003</v>
      </c>
      <c r="AP329" s="91">
        <v>1.31</v>
      </c>
      <c r="AQ329" s="91">
        <v>13</v>
      </c>
      <c r="AR329" s="91">
        <v>7.0000000000000007E-2</v>
      </c>
      <c r="AS329" s="91">
        <v>4.5</v>
      </c>
      <c r="AT329" s="91">
        <v>0.04</v>
      </c>
      <c r="AU329" s="91">
        <v>0</v>
      </c>
      <c r="AV329" s="91" t="s">
        <v>148</v>
      </c>
      <c r="AW329" s="97">
        <v>0</v>
      </c>
      <c r="AX329" s="256">
        <f t="shared" si="156"/>
        <v>13.04</v>
      </c>
      <c r="AY329" s="256">
        <f t="shared" si="157"/>
        <v>0</v>
      </c>
      <c r="AZ329" s="275">
        <f>IF(C329="",0,(0.5*(_ML1*LPM)+0.5*(_ML1*HB)+0.66*(P*PR)+0.66*(_ML2*RDM)+0.66*(E*ER))*VLOOKUP(BATT,'Look Ups'!$U$3:$V$4,2,0))</f>
        <v>43.661040000000007</v>
      </c>
      <c r="BA329" s="98"/>
      <c r="BB329" s="99"/>
      <c r="BC329" s="83">
        <v>13.05</v>
      </c>
      <c r="BD329" s="91">
        <v>4.1100000000000003</v>
      </c>
      <c r="BE329" s="91">
        <v>4.9000000000000004</v>
      </c>
      <c r="BF329" s="91">
        <v>0.05</v>
      </c>
      <c r="BG329" s="91">
        <v>11.1</v>
      </c>
      <c r="BH329" s="91"/>
      <c r="BI329" s="91"/>
      <c r="BJ329" s="91">
        <v>-0.36</v>
      </c>
      <c r="BK329" s="91">
        <v>-0.14000000000000001</v>
      </c>
      <c r="BL329" s="97">
        <v>0</v>
      </c>
      <c r="BM329" s="275">
        <f t="shared" si="158"/>
        <v>23.136270000000003</v>
      </c>
      <c r="BN329" s="319"/>
      <c r="BO329" s="320"/>
      <c r="BP329" s="321"/>
      <c r="BQ329" s="321"/>
      <c r="BR329" s="320"/>
      <c r="BS329" s="321"/>
      <c r="BT329" s="321"/>
      <c r="BU329" s="280">
        <f t="shared" si="159"/>
        <v>0</v>
      </c>
      <c r="BV329" s="322"/>
      <c r="BW329" s="320"/>
      <c r="BX329" s="320"/>
      <c r="BY329" s="320"/>
      <c r="BZ329" s="320"/>
      <c r="CA329" s="320"/>
      <c r="CB329" s="320"/>
      <c r="CC329" s="275">
        <f t="shared" si="160"/>
        <v>0</v>
      </c>
      <c r="CD329" s="98">
        <v>9.82</v>
      </c>
      <c r="CE329" s="91">
        <v>15.08</v>
      </c>
      <c r="CF329" s="91">
        <v>12.73</v>
      </c>
      <c r="CG329" s="91">
        <v>8.41</v>
      </c>
      <c r="CH329" s="266">
        <f t="shared" si="161"/>
        <v>85.641547861507121</v>
      </c>
      <c r="CI329" s="320"/>
      <c r="CJ329" s="280">
        <f t="shared" si="162"/>
        <v>100.71855000000002</v>
      </c>
      <c r="CK329" s="83"/>
      <c r="CL329" s="91"/>
      <c r="CM329" s="91"/>
      <c r="CN329" s="91"/>
      <c r="CO329" s="256" t="str">
        <f t="shared" si="163"/>
        <v/>
      </c>
      <c r="CP329" s="320"/>
      <c r="CQ329" s="256">
        <f t="shared" si="164"/>
        <v>0</v>
      </c>
      <c r="CR329" s="256" t="str">
        <f>IF(CO329&lt;'Look Ups'!$AC$4,"Yes","No")</f>
        <v>No</v>
      </c>
      <c r="CS329" s="293">
        <f>IF(CR329="Yes",MIN(150,('Look Ups'!$AC$4-PSCR)/('Look Ups'!$AC$4-'Look Ups'!$AC$3)*100),0)</f>
        <v>0</v>
      </c>
      <c r="CT329" s="83"/>
      <c r="CU329" s="91"/>
      <c r="CV329" s="91"/>
      <c r="CW329" s="91"/>
      <c r="CX329" s="256" t="str">
        <f t="shared" si="165"/>
        <v/>
      </c>
      <c r="CY329" s="293">
        <f>IF(PUSCR&lt;'Look Ups'!$AC$4,MIN(150,('Look Ups'!$AC$4-PUSCR)/('Look Ups'!$AC$4-'Look Ups'!$AC$3)*100),0)</f>
        <v>0</v>
      </c>
      <c r="CZ329" s="275">
        <f>IF(PUSCR&lt;'Look Ups'!$AC$4,USCRF*(USCRL1+USCRL2)/4+(USCRMG-USCRF/2)*(USCRL1+USCRL2)/3,0)</f>
        <v>0</v>
      </c>
      <c r="DA329" s="294">
        <f t="shared" si="166"/>
        <v>1</v>
      </c>
      <c r="DB329" s="256">
        <f t="shared" si="167"/>
        <v>43.661040000000007</v>
      </c>
      <c r="DC329" s="256">
        <f t="shared" si="168"/>
        <v>1</v>
      </c>
      <c r="DD329" s="256">
        <f t="shared" si="169"/>
        <v>23.136270000000003</v>
      </c>
      <c r="DE329" s="256">
        <f>IF(AZ329&gt;0,'Look Ups'!$S$3,0)</f>
        <v>1</v>
      </c>
      <c r="DF329" s="256">
        <f t="shared" si="170"/>
        <v>0</v>
      </c>
      <c r="DG329" s="256">
        <f t="shared" si="171"/>
        <v>0</v>
      </c>
      <c r="DH329" s="256">
        <f t="shared" si="172"/>
        <v>0</v>
      </c>
      <c r="DI329" s="280">
        <f t="shared" si="173"/>
        <v>0</v>
      </c>
      <c r="DJ329" s="295" t="str">
        <f t="shared" si="174"/>
        <v>-</v>
      </c>
      <c r="DK329" s="266" t="str">
        <f t="shared" si="175"/>
        <v>valid</v>
      </c>
      <c r="DL329" s="267" t="str">
        <f t="shared" si="176"/>
        <v>MGSP</v>
      </c>
      <c r="DM329" s="294">
        <f t="shared" si="177"/>
        <v>66.79731000000001</v>
      </c>
      <c r="DN329" s="256">
        <f>IF(MSASP&gt;0,'Look Ups'!$AI$4*(ZVAL*MSASP-RSAG),0)</f>
        <v>23.274684000000008</v>
      </c>
      <c r="DO329" s="256">
        <f>IF(AND(MSASC&gt;0,(MSASC&gt;=0.36*RSAM)),('Look Ups'!$AI$3*(ZVAL*MSASC-RSAG)),(0))</f>
        <v>0</v>
      </c>
      <c r="DP329" s="256">
        <f>IF(MSASP&gt;0,'Look Ups'!$AI$5*(ZVAL*MSASP-RSAG),0)</f>
        <v>21.723038400000011</v>
      </c>
      <c r="DQ329" s="256">
        <f>IF(MSASC&gt;0,'Look Ups'!$AI$6*(MSASC-RSAG),0)</f>
        <v>0</v>
      </c>
      <c r="DR329" s="280">
        <f>'Look Ups'!$AI$7*MAX(IF(MSAUSC&gt;0,EUSC/100*(MSAUSC-RSAG),0),IF(CR329="Yes",ELSC/100*(MSASC-RSAG),0))</f>
        <v>0</v>
      </c>
      <c r="DS329" s="280">
        <f t="shared" si="178"/>
        <v>15.717974400000003</v>
      </c>
      <c r="DT329" s="296">
        <f t="shared" si="179"/>
        <v>90.071994000000018</v>
      </c>
      <c r="DU329" s="14"/>
    </row>
    <row r="330" spans="1:125" ht="15.6" x14ac:dyDescent="0.3">
      <c r="A330" s="4"/>
      <c r="B330" s="365"/>
      <c r="C330" s="369" t="s">
        <v>1077</v>
      </c>
      <c r="D330" s="370" t="s">
        <v>1078</v>
      </c>
      <c r="E330" s="371" t="s">
        <v>1079</v>
      </c>
      <c r="F330" s="252">
        <f t="shared" ca="1" si="150"/>
        <v>1.012</v>
      </c>
      <c r="G330" s="252" t="str">
        <f ca="1">IF(OR(FLSCR="ERROR",FLSPI="ERROR"),"No",IF(TODAY()-'Look Ups'!$D$4*365&gt;I330,"WP Applied","Yes"))</f>
        <v>Yes</v>
      </c>
      <c r="H330" s="253" t="str">
        <f t="shared" si="151"/>
        <v>Main-Genoa-Screacher-Spinnaker</v>
      </c>
      <c r="I330" s="1">
        <v>42823</v>
      </c>
      <c r="J330" s="1">
        <v>43398</v>
      </c>
      <c r="K330" s="87" t="s">
        <v>186</v>
      </c>
      <c r="L330" s="87" t="s">
        <v>142</v>
      </c>
      <c r="M330" s="207"/>
      <c r="N330" s="88" t="s">
        <v>165</v>
      </c>
      <c r="O330" s="88"/>
      <c r="P330" s="89">
        <v>7.6</v>
      </c>
      <c r="Q330" s="90">
        <v>11.7</v>
      </c>
      <c r="R330" s="87"/>
      <c r="S330" s="256">
        <f t="shared" si="152"/>
        <v>0.29249999999999998</v>
      </c>
      <c r="T330" s="117">
        <v>0.23</v>
      </c>
      <c r="U330" s="117">
        <v>0</v>
      </c>
      <c r="V330" s="258">
        <f t="shared" si="153"/>
        <v>11.469999999999999</v>
      </c>
      <c r="W330" s="259">
        <f>IF(RL&gt;0,IF(RL&gt;'Look Ups'!Y$7,'Look Ups'!Y$8,('Look Ups'!Y$3*RL^3+'Look Ups'!Y$4*RL^2+'Look Ups'!Y$5*RL+'Look Ups'!Y$6)),0)</f>
        <v>0.29977685625900002</v>
      </c>
      <c r="X330" s="92">
        <v>3260</v>
      </c>
      <c r="Y330" s="263">
        <f ca="1">IF(WDATE&lt;(TODAY()-'Look Ups'!$D$4*365),-WM*'Look Ups'!$D$5/100,0)</f>
        <v>0</v>
      </c>
      <c r="Z330" s="103"/>
      <c r="AA330" s="109"/>
      <c r="AB330" s="109"/>
      <c r="AC330" s="265">
        <f>WCD+NC*'Look Ups'!$AF$3</f>
        <v>0</v>
      </c>
      <c r="AD330" s="265">
        <f ca="1">IF(RL&lt;'Look Ups'!AM$3,'Look Ups'!AM$4,IF(RL&gt;'Look Ups'!AM$5,'Look Ups'!AM$6,(RL-'Look Ups'!AM$3)/('Look Ups'!AM$5-'Look Ups'!AM$3)*('Look Ups'!AM$6-'Look Ups'!AM$4)+'Look Ups'!AM$4))/100*WS</f>
        <v>412.5381818181819</v>
      </c>
      <c r="AE330" s="269">
        <f t="shared" ca="1" si="154"/>
        <v>3260</v>
      </c>
      <c r="AF330" s="267">
        <f t="shared" ca="1" si="155"/>
        <v>3260</v>
      </c>
      <c r="AG330" s="94" t="s">
        <v>145</v>
      </c>
      <c r="AH330" s="95" t="s">
        <v>146</v>
      </c>
      <c r="AI330" s="96" t="s">
        <v>147</v>
      </c>
      <c r="AJ330" s="218"/>
      <c r="AK330" s="273">
        <f>IF(C330="",0,VLOOKUP(AG330,'Look Ups'!$F$3:$G$6,2,0)*VLOOKUP(AH330,'Look Ups'!$I$3:$J$5,2,0)*VLOOKUP(AI330,'Look Ups'!$L$3:$M$7,2,0)*IF(AJ330="",1,VLOOKUP(AJ330,'Look Ups'!$O$3:$P$4,2,0)))</f>
        <v>1</v>
      </c>
      <c r="AL330" s="83">
        <v>17.350000000000001</v>
      </c>
      <c r="AM330" s="91">
        <v>16.829999999999998</v>
      </c>
      <c r="AN330" s="91">
        <v>4.8499999999999996</v>
      </c>
      <c r="AO330" s="91">
        <v>1.92</v>
      </c>
      <c r="AP330" s="91">
        <v>0.73</v>
      </c>
      <c r="AQ330" s="91">
        <v>17.14</v>
      </c>
      <c r="AR330" s="91">
        <v>0.08</v>
      </c>
      <c r="AS330" s="91">
        <v>4.95</v>
      </c>
      <c r="AT330" s="91">
        <v>0</v>
      </c>
      <c r="AU330" s="91">
        <v>0.87</v>
      </c>
      <c r="AV330" s="91" t="s">
        <v>148</v>
      </c>
      <c r="AW330" s="97">
        <v>0</v>
      </c>
      <c r="AX330" s="256">
        <f t="shared" si="156"/>
        <v>17.14</v>
      </c>
      <c r="AY330" s="256">
        <f t="shared" si="157"/>
        <v>5.5919249999999998</v>
      </c>
      <c r="AZ330" s="275">
        <f>IF(C330="",0,(0.5*(_ML1*LPM)+0.5*(_ML1*HB)+0.66*(P*PR)+0.66*(_ML2*RDM)+0.66*(E*ER))*VLOOKUP(BATT,'Look Ups'!$U$3:$V$4,2,0))</f>
        <v>67.743436000000003</v>
      </c>
      <c r="BA330" s="98"/>
      <c r="BB330" s="99"/>
      <c r="BC330" s="83">
        <v>14.23</v>
      </c>
      <c r="BD330" s="91">
        <v>3.5</v>
      </c>
      <c r="BE330" s="91">
        <v>3.64</v>
      </c>
      <c r="BF330" s="91">
        <v>0.27</v>
      </c>
      <c r="BG330" s="91">
        <v>13.24</v>
      </c>
      <c r="BH330" s="91">
        <v>13.2</v>
      </c>
      <c r="BI330" s="91">
        <v>0.26</v>
      </c>
      <c r="BJ330" s="91">
        <v>0.18</v>
      </c>
      <c r="BK330" s="91">
        <v>-0.06</v>
      </c>
      <c r="BL330" s="97"/>
      <c r="BM330" s="275">
        <f t="shared" si="158"/>
        <v>28.277000000000001</v>
      </c>
      <c r="BN330" s="319"/>
      <c r="BO330" s="320"/>
      <c r="BP330" s="321"/>
      <c r="BQ330" s="321"/>
      <c r="BR330" s="320"/>
      <c r="BS330" s="321"/>
      <c r="BT330" s="321"/>
      <c r="BU330" s="280">
        <f t="shared" si="159"/>
        <v>0</v>
      </c>
      <c r="BV330" s="322"/>
      <c r="BW330" s="320"/>
      <c r="BX330" s="320"/>
      <c r="BY330" s="320"/>
      <c r="BZ330" s="320"/>
      <c r="CA330" s="320"/>
      <c r="CB330" s="320"/>
      <c r="CC330" s="275">
        <f t="shared" si="160"/>
        <v>0</v>
      </c>
      <c r="CD330" s="98">
        <v>11.39</v>
      </c>
      <c r="CE330" s="91">
        <v>20.25</v>
      </c>
      <c r="CF330" s="91">
        <v>17.63</v>
      </c>
      <c r="CG330" s="91">
        <v>9.48</v>
      </c>
      <c r="CH330" s="266">
        <f t="shared" si="161"/>
        <v>83.230904302019312</v>
      </c>
      <c r="CI330" s="320"/>
      <c r="CJ330" s="280">
        <f t="shared" si="162"/>
        <v>155.65523333333334</v>
      </c>
      <c r="CK330" s="83">
        <v>9.92</v>
      </c>
      <c r="CL330" s="91">
        <v>15.2</v>
      </c>
      <c r="CM330" s="91">
        <v>17.3</v>
      </c>
      <c r="CN330" s="91">
        <v>6.38</v>
      </c>
      <c r="CO330" s="256">
        <f t="shared" si="163"/>
        <v>64.314516129032256</v>
      </c>
      <c r="CP330" s="320"/>
      <c r="CQ330" s="256">
        <f t="shared" si="164"/>
        <v>95.98333333333332</v>
      </c>
      <c r="CR330" s="256" t="str">
        <f>IF(CO330&lt;'Look Ups'!$AC$4,"Yes","No")</f>
        <v>No</v>
      </c>
      <c r="CS330" s="293">
        <f>IF(CR330="Yes",MIN(150,('Look Ups'!$AC$4-PSCR)/('Look Ups'!$AC$4-'Look Ups'!$AC$3)*100),0)</f>
        <v>0</v>
      </c>
      <c r="CT330" s="83"/>
      <c r="CU330" s="91"/>
      <c r="CV330" s="91"/>
      <c r="CW330" s="91"/>
      <c r="CX330" s="256" t="str">
        <f t="shared" si="165"/>
        <v/>
      </c>
      <c r="CY330" s="293">
        <f>IF(PUSCR&lt;'Look Ups'!$AC$4,MIN(150,('Look Ups'!$AC$4-PUSCR)/('Look Ups'!$AC$4-'Look Ups'!$AC$3)*100),0)</f>
        <v>0</v>
      </c>
      <c r="CZ330" s="275">
        <f>IF(PUSCR&lt;'Look Ups'!$AC$4,USCRF*(USCRL1+USCRL2)/4+(USCRMG-USCRF/2)*(USCRL1+USCRL2)/3,0)</f>
        <v>0</v>
      </c>
      <c r="DA330" s="294">
        <f t="shared" si="166"/>
        <v>1</v>
      </c>
      <c r="DB330" s="256">
        <f t="shared" si="167"/>
        <v>73.335361000000006</v>
      </c>
      <c r="DC330" s="256">
        <f t="shared" si="168"/>
        <v>1</v>
      </c>
      <c r="DD330" s="256">
        <f t="shared" si="169"/>
        <v>28.277000000000001</v>
      </c>
      <c r="DE330" s="256">
        <f>IF(AZ330&gt;0,'Look Ups'!$S$3,0)</f>
        <v>1</v>
      </c>
      <c r="DF330" s="256">
        <f t="shared" si="170"/>
        <v>0</v>
      </c>
      <c r="DG330" s="256">
        <f t="shared" si="171"/>
        <v>0</v>
      </c>
      <c r="DH330" s="256">
        <f t="shared" si="172"/>
        <v>0</v>
      </c>
      <c r="DI330" s="280">
        <f t="shared" si="173"/>
        <v>0</v>
      </c>
      <c r="DJ330" s="295" t="str">
        <f t="shared" si="174"/>
        <v>valid</v>
      </c>
      <c r="DK330" s="266" t="str">
        <f t="shared" si="175"/>
        <v>valid</v>
      </c>
      <c r="DL330" s="267" t="str">
        <f t="shared" si="176"/>
        <v>MGScrSP</v>
      </c>
      <c r="DM330" s="294">
        <f t="shared" si="177"/>
        <v>101.61236100000001</v>
      </c>
      <c r="DN330" s="256">
        <f>IF(MSASP&gt;0,'Look Ups'!$AI$4*(ZVAL*MSASP-RSAG),0)</f>
        <v>38.213470000000001</v>
      </c>
      <c r="DO330" s="256">
        <f>IF(AND(MSASC&gt;0,(MSASC&gt;=0.36*RSAM)),('Look Ups'!$AI$3*(ZVAL*MSASC-RSAG)),(0))</f>
        <v>23.697216666666659</v>
      </c>
      <c r="DP330" s="256">
        <f>IF(MSASP&gt;0,'Look Ups'!$AI$5*(ZVAL*MSASP-RSAG),0)</f>
        <v>35.665905333333342</v>
      </c>
      <c r="DQ330" s="256">
        <f>IF(MSASC&gt;0,'Look Ups'!$AI$6*(MSASC-RSAG),0)</f>
        <v>4.739443333333333</v>
      </c>
      <c r="DR330" s="280">
        <f>'Look Ups'!$AI$7*MAX(IF(MSAUSC&gt;0,EUSC/100*(MSAUSC-RSAG),0),IF(CR330="Yes",ELSC/100*(MSASC-RSAG),0))</f>
        <v>0</v>
      </c>
      <c r="DS330" s="280">
        <f t="shared" si="178"/>
        <v>26.40072996</v>
      </c>
      <c r="DT330" s="296">
        <f t="shared" si="179"/>
        <v>142.01770966666669</v>
      </c>
      <c r="DU330" s="14"/>
    </row>
    <row r="331" spans="1:125" ht="15.6" x14ac:dyDescent="0.3">
      <c r="A331" s="4"/>
      <c r="B331" s="365"/>
      <c r="C331" s="369" t="s">
        <v>1080</v>
      </c>
      <c r="D331" s="370" t="s">
        <v>281</v>
      </c>
      <c r="E331" s="371" t="s">
        <v>571</v>
      </c>
      <c r="F331" s="252">
        <f t="shared" ca="1" si="150"/>
        <v>0.81899999999999995</v>
      </c>
      <c r="G331" s="252" t="str">
        <f ca="1">IF(OR(FLSCR="ERROR",FLSPI="ERROR"),"No",IF(TODAY()-'Look Ups'!$D$4*365&gt;I331,"WP Applied","Yes"))</f>
        <v>WP Applied</v>
      </c>
      <c r="H331" s="253" t="str">
        <f t="shared" si="151"/>
        <v>Main-Genoa-Spinnaker</v>
      </c>
      <c r="I331" s="1">
        <v>38803</v>
      </c>
      <c r="J331" s="1">
        <v>38980</v>
      </c>
      <c r="K331" s="87" t="s">
        <v>607</v>
      </c>
      <c r="L331" s="87" t="s">
        <v>658</v>
      </c>
      <c r="M331" s="207"/>
      <c r="N331" s="88" t="s">
        <v>271</v>
      </c>
      <c r="O331" s="88"/>
      <c r="P331" s="89">
        <v>5.5</v>
      </c>
      <c r="Q331" s="90">
        <v>7.42</v>
      </c>
      <c r="R331" s="87"/>
      <c r="S331" s="256">
        <f t="shared" si="152"/>
        <v>0.1855</v>
      </c>
      <c r="T331" s="117">
        <v>0.23</v>
      </c>
      <c r="U331" s="117">
        <v>0</v>
      </c>
      <c r="V331" s="258">
        <f t="shared" si="153"/>
        <v>7.1899999999999995</v>
      </c>
      <c r="W331" s="259">
        <f>IF(RL&gt;0,IF(RL&gt;'Look Ups'!Y$7,'Look Ups'!Y$8,('Look Ups'!Y$3*RL^3+'Look Ups'!Y$4*RL^2+'Look Ups'!Y$5*RL+'Look Ups'!Y$6)),0)</f>
        <v>0.29059639364700002</v>
      </c>
      <c r="X331" s="92">
        <v>1120</v>
      </c>
      <c r="Y331" s="263">
        <f ca="1">IF(WDATE&lt;(TODAY()-'Look Ups'!$D$4*365),-WM*'Look Ups'!$D$5/100,0)</f>
        <v>-168</v>
      </c>
      <c r="Z331" s="103"/>
      <c r="AA331" s="109"/>
      <c r="AB331" s="109"/>
      <c r="AC331" s="265">
        <f>WCD+NC*'Look Ups'!$AF$3</f>
        <v>0</v>
      </c>
      <c r="AD331" s="265">
        <f ca="1">IF(RL&lt;'Look Ups'!AM$3,'Look Ups'!AM$4,IF(RL&gt;'Look Ups'!AM$5,'Look Ups'!AM$6,(RL-'Look Ups'!AM$3)/('Look Ups'!AM$5-'Look Ups'!AM$3)*('Look Ups'!AM$6-'Look Ups'!AM$4)+'Look Ups'!AM$4))/100*WS</f>
        <v>268.63709090909094</v>
      </c>
      <c r="AE331" s="269">
        <f t="shared" ca="1" si="154"/>
        <v>952</v>
      </c>
      <c r="AF331" s="267">
        <f t="shared" ca="1" si="155"/>
        <v>952</v>
      </c>
      <c r="AG331" s="94" t="s">
        <v>145</v>
      </c>
      <c r="AH331" s="95" t="s">
        <v>146</v>
      </c>
      <c r="AI331" s="96" t="s">
        <v>147</v>
      </c>
      <c r="AJ331" s="218"/>
      <c r="AK331" s="273">
        <f>IF(C331="",0,VLOOKUP(AG331,'Look Ups'!$F$3:$G$6,2,0)*VLOOKUP(AH331,'Look Ups'!$I$3:$J$5,2,0)*VLOOKUP(AI331,'Look Ups'!$L$3:$M$7,2,0)*IF(AJ331="",1,VLOOKUP(AJ331,'Look Ups'!$O$3:$P$4,2,0)))</f>
        <v>1</v>
      </c>
      <c r="AL331" s="83">
        <v>9.35</v>
      </c>
      <c r="AM331" s="91">
        <v>9.0500000000000007</v>
      </c>
      <c r="AN331" s="91">
        <v>3.29</v>
      </c>
      <c r="AO331" s="91">
        <v>0.68</v>
      </c>
      <c r="AP331" s="91">
        <v>0.62</v>
      </c>
      <c r="AQ331" s="91">
        <v>8.74</v>
      </c>
      <c r="AR331" s="91">
        <v>0.1</v>
      </c>
      <c r="AS331" s="91">
        <v>3.53</v>
      </c>
      <c r="AT331" s="91">
        <v>0.03</v>
      </c>
      <c r="AU331" s="91">
        <v>0.4</v>
      </c>
      <c r="AV331" s="91" t="s">
        <v>148</v>
      </c>
      <c r="AW331" s="97">
        <v>0</v>
      </c>
      <c r="AX331" s="256">
        <f t="shared" si="156"/>
        <v>8.77</v>
      </c>
      <c r="AY331" s="256">
        <f t="shared" si="157"/>
        <v>1.3109999999999999</v>
      </c>
      <c r="AZ331" s="275">
        <f>IF(C331="",0,(0.5*(_ML1*LPM)+0.5*(_ML1*HB)+0.66*(P*PR)+0.66*(_ML2*RDM)+0.66*(E*ER))*VLOOKUP(BATT,'Look Ups'!$U$3:$V$4,2,0))</f>
        <v>22.909744000000003</v>
      </c>
      <c r="BA331" s="98"/>
      <c r="BB331" s="99"/>
      <c r="BC331" s="83">
        <v>8.18</v>
      </c>
      <c r="BD331" s="91">
        <v>2.96</v>
      </c>
      <c r="BE331" s="91">
        <v>3.27</v>
      </c>
      <c r="BF331" s="91">
        <v>0.06</v>
      </c>
      <c r="BG331" s="91">
        <v>7.32</v>
      </c>
      <c r="BH331" s="91"/>
      <c r="BI331" s="91"/>
      <c r="BJ331" s="91">
        <v>-0.01</v>
      </c>
      <c r="BK331" s="91">
        <v>0.03</v>
      </c>
      <c r="BL331" s="97">
        <v>0</v>
      </c>
      <c r="BM331" s="275">
        <f t="shared" si="158"/>
        <v>12.349544</v>
      </c>
      <c r="BN331" s="319"/>
      <c r="BO331" s="320"/>
      <c r="BP331" s="321"/>
      <c r="BQ331" s="321"/>
      <c r="BR331" s="320"/>
      <c r="BS331" s="321"/>
      <c r="BT331" s="321"/>
      <c r="BU331" s="280">
        <f t="shared" si="159"/>
        <v>0</v>
      </c>
      <c r="BV331" s="322"/>
      <c r="BW331" s="320"/>
      <c r="BX331" s="320"/>
      <c r="BY331" s="320"/>
      <c r="BZ331" s="320"/>
      <c r="CA331" s="320"/>
      <c r="CB331" s="320"/>
      <c r="CC331" s="275">
        <f t="shared" si="160"/>
        <v>0</v>
      </c>
      <c r="CD331" s="98">
        <v>6.4</v>
      </c>
      <c r="CE331" s="91">
        <v>10.02</v>
      </c>
      <c r="CF331" s="91">
        <v>8.17</v>
      </c>
      <c r="CG331" s="91">
        <v>5.45</v>
      </c>
      <c r="CH331" s="266">
        <f t="shared" si="161"/>
        <v>85.15625</v>
      </c>
      <c r="CI331" s="320"/>
      <c r="CJ331" s="280">
        <f t="shared" si="162"/>
        <v>42.746499999999997</v>
      </c>
      <c r="CK331" s="83"/>
      <c r="CL331" s="91"/>
      <c r="CM331" s="91"/>
      <c r="CN331" s="91"/>
      <c r="CO331" s="256" t="str">
        <f t="shared" si="163"/>
        <v/>
      </c>
      <c r="CP331" s="320"/>
      <c r="CQ331" s="256">
        <f t="shared" si="164"/>
        <v>0</v>
      </c>
      <c r="CR331" s="256" t="str">
        <f>IF(CO331&lt;'Look Ups'!$AC$4,"Yes","No")</f>
        <v>No</v>
      </c>
      <c r="CS331" s="293">
        <f>IF(CR331="Yes",MIN(150,('Look Ups'!$AC$4-PSCR)/('Look Ups'!$AC$4-'Look Ups'!$AC$3)*100),0)</f>
        <v>0</v>
      </c>
      <c r="CT331" s="83"/>
      <c r="CU331" s="91"/>
      <c r="CV331" s="91"/>
      <c r="CW331" s="91"/>
      <c r="CX331" s="256" t="str">
        <f t="shared" si="165"/>
        <v/>
      </c>
      <c r="CY331" s="293">
        <f>IF(PUSCR&lt;'Look Ups'!$AC$4,MIN(150,('Look Ups'!$AC$4-PUSCR)/('Look Ups'!$AC$4-'Look Ups'!$AC$3)*100),0)</f>
        <v>0</v>
      </c>
      <c r="CZ331" s="275">
        <f>IF(PUSCR&lt;'Look Ups'!$AC$4,USCRF*(USCRL1+USCRL2)/4+(USCRMG-USCRF/2)*(USCRL1+USCRL2)/3,0)</f>
        <v>0</v>
      </c>
      <c r="DA331" s="294">
        <f t="shared" si="166"/>
        <v>1</v>
      </c>
      <c r="DB331" s="256">
        <f t="shared" si="167"/>
        <v>24.220744000000003</v>
      </c>
      <c r="DC331" s="256">
        <f t="shared" si="168"/>
        <v>1</v>
      </c>
      <c r="DD331" s="256">
        <f t="shared" si="169"/>
        <v>12.349544</v>
      </c>
      <c r="DE331" s="256">
        <f>IF(AZ331&gt;0,'Look Ups'!$S$3,0)</f>
        <v>1</v>
      </c>
      <c r="DF331" s="256">
        <f t="shared" si="170"/>
        <v>0</v>
      </c>
      <c r="DG331" s="256">
        <f t="shared" si="171"/>
        <v>0</v>
      </c>
      <c r="DH331" s="256">
        <f t="shared" si="172"/>
        <v>0</v>
      </c>
      <c r="DI331" s="280">
        <f t="shared" si="173"/>
        <v>0</v>
      </c>
      <c r="DJ331" s="295" t="str">
        <f t="shared" si="174"/>
        <v>-</v>
      </c>
      <c r="DK331" s="266" t="str">
        <f t="shared" si="175"/>
        <v>valid</v>
      </c>
      <c r="DL331" s="267" t="str">
        <f t="shared" si="176"/>
        <v>MGSP</v>
      </c>
      <c r="DM331" s="294">
        <f t="shared" si="177"/>
        <v>36.570288000000005</v>
      </c>
      <c r="DN331" s="256">
        <f>IF(MSASP&gt;0,'Look Ups'!$AI$4*(ZVAL*MSASP-RSAG),0)</f>
        <v>9.119086799999998</v>
      </c>
      <c r="DO331" s="256">
        <f>IF(AND(MSASC&gt;0,(MSASC&gt;=0.36*RSAM)),('Look Ups'!$AI$3*(ZVAL*MSASC-RSAG)),(0))</f>
        <v>0</v>
      </c>
      <c r="DP331" s="256">
        <f>IF(MSASP&gt;0,'Look Ups'!$AI$5*(ZVAL*MSASP-RSAG),0)</f>
        <v>8.5111476799999988</v>
      </c>
      <c r="DQ331" s="256">
        <f>IF(MSASC&gt;0,'Look Ups'!$AI$6*(MSASC-RSAG),0)</f>
        <v>0</v>
      </c>
      <c r="DR331" s="280">
        <f>'Look Ups'!$AI$7*MAX(IF(MSAUSC&gt;0,EUSC/100*(MSAUSC-RSAG),0),IF(CR331="Yes",ELSC/100*(MSASC-RSAG),0))</f>
        <v>0</v>
      </c>
      <c r="DS331" s="280">
        <f t="shared" si="178"/>
        <v>8.7194678400000001</v>
      </c>
      <c r="DT331" s="296">
        <f t="shared" si="179"/>
        <v>45.689374800000003</v>
      </c>
      <c r="DU331" s="14"/>
    </row>
    <row r="332" spans="1:125" ht="15.45" customHeight="1" x14ac:dyDescent="0.3">
      <c r="A332" s="4"/>
      <c r="B332" s="365"/>
      <c r="C332" s="369" t="s">
        <v>1081</v>
      </c>
      <c r="D332" s="370" t="s">
        <v>397</v>
      </c>
      <c r="E332" s="371" t="s">
        <v>1082</v>
      </c>
      <c r="F332" s="252">
        <f t="shared" ca="1" si="150"/>
        <v>0.90900000000000003</v>
      </c>
      <c r="G332" s="252" t="str">
        <f ca="1">IF(OR(FLSCR="ERROR",FLSPI="ERROR"),"No",IF(TODAY()-'Look Ups'!$D$4*365&gt;I332,"WP Applied","Yes"))</f>
        <v>WP Applied</v>
      </c>
      <c r="H332" s="253" t="str">
        <f t="shared" si="151"/>
        <v>Main-Genoa-Screacher (Upwind)-Spinnaker</v>
      </c>
      <c r="I332" s="1">
        <v>38847</v>
      </c>
      <c r="J332" s="1">
        <v>41551</v>
      </c>
      <c r="K332" s="87" t="s">
        <v>176</v>
      </c>
      <c r="L332" s="87" t="s">
        <v>270</v>
      </c>
      <c r="M332" s="207"/>
      <c r="N332" s="88" t="s">
        <v>143</v>
      </c>
      <c r="O332" s="88" t="s">
        <v>154</v>
      </c>
      <c r="P332" s="89"/>
      <c r="Q332" s="90">
        <v>7.38</v>
      </c>
      <c r="R332" s="87"/>
      <c r="S332" s="256">
        <f t="shared" si="152"/>
        <v>0.1845</v>
      </c>
      <c r="T332" s="117">
        <v>0.2</v>
      </c>
      <c r="U332" s="117">
        <v>0</v>
      </c>
      <c r="V332" s="258">
        <f t="shared" si="153"/>
        <v>7.18</v>
      </c>
      <c r="W332" s="259">
        <f>IF(RL&gt;0,IF(RL&gt;'Look Ups'!Y$7,'Look Ups'!Y$8,('Look Ups'!Y$3*RL^3+'Look Ups'!Y$4*RL^2+'Look Ups'!Y$5*RL+'Look Ups'!Y$6)),0)</f>
        <v>0.29055146565599999</v>
      </c>
      <c r="X332" s="92">
        <v>935</v>
      </c>
      <c r="Y332" s="263">
        <f ca="1">IF(WDATE&lt;(TODAY()-'Look Ups'!$D$4*365),-WM*'Look Ups'!$D$5/100,0)</f>
        <v>-140.25</v>
      </c>
      <c r="Z332" s="103"/>
      <c r="AA332" s="109"/>
      <c r="AB332" s="109"/>
      <c r="AC332" s="265">
        <f>WCD+NC*'Look Ups'!$AF$3</f>
        <v>0</v>
      </c>
      <c r="AD332" s="265">
        <f ca="1">IF(RL&lt;'Look Ups'!AM$3,'Look Ups'!AM$4,IF(RL&gt;'Look Ups'!AM$5,'Look Ups'!AM$6,(RL-'Look Ups'!AM$3)/('Look Ups'!AM$5-'Look Ups'!AM$3)*('Look Ups'!AM$6-'Look Ups'!AM$4)+'Look Ups'!AM$4))/100*WS</f>
        <v>224.55300000000005</v>
      </c>
      <c r="AE332" s="269">
        <f t="shared" ca="1" si="154"/>
        <v>794.75</v>
      </c>
      <c r="AF332" s="267">
        <f t="shared" ca="1" si="155"/>
        <v>794.75</v>
      </c>
      <c r="AG332" s="94" t="s">
        <v>145</v>
      </c>
      <c r="AH332" s="95" t="s">
        <v>146</v>
      </c>
      <c r="AI332" s="96" t="s">
        <v>147</v>
      </c>
      <c r="AJ332" s="218"/>
      <c r="AK332" s="273">
        <f>IF(C332="",0,VLOOKUP(AG332,'Look Ups'!$F$3:$G$6,2,0)*VLOOKUP(AH332,'Look Ups'!$I$3:$J$5,2,0)*VLOOKUP(AI332,'Look Ups'!$L$3:$M$7,2,0)*IF(AJ332="",1,VLOOKUP(AJ332,'Look Ups'!$O$3:$P$4,2,0)))</f>
        <v>1</v>
      </c>
      <c r="AL332" s="83">
        <v>10</v>
      </c>
      <c r="AM332" s="91">
        <v>9.8699999999999992</v>
      </c>
      <c r="AN332" s="91">
        <v>3.1</v>
      </c>
      <c r="AO332" s="91">
        <v>1.1200000000000001</v>
      </c>
      <c r="AP332" s="91">
        <v>0.22</v>
      </c>
      <c r="AQ332" s="91">
        <v>9.67</v>
      </c>
      <c r="AR332" s="91">
        <v>0.126</v>
      </c>
      <c r="AS332" s="91">
        <v>3.2349999999999999</v>
      </c>
      <c r="AT332" s="91">
        <v>0.04</v>
      </c>
      <c r="AU332" s="91">
        <v>0.49</v>
      </c>
      <c r="AV332" s="91" t="s">
        <v>148</v>
      </c>
      <c r="AW332" s="97">
        <v>0</v>
      </c>
      <c r="AX332" s="256">
        <f t="shared" si="156"/>
        <v>9.7099999999999991</v>
      </c>
      <c r="AY332" s="256">
        <f t="shared" si="157"/>
        <v>1.7768624999999998</v>
      </c>
      <c r="AZ332" s="275">
        <f>IF(C332="",0,(0.5*(_ML1*LPM)+0.5*(_ML1*HB)+0.66*(P*PR)+0.66*(_ML2*RDM)+0.66*(E*ER))*VLOOKUP(BATT,'Look Ups'!$U$3:$V$4,2,0))</f>
        <v>23.4226852</v>
      </c>
      <c r="BA332" s="98"/>
      <c r="BB332" s="99"/>
      <c r="BC332" s="83">
        <v>9.1</v>
      </c>
      <c r="BD332" s="91">
        <v>2.4900000000000002</v>
      </c>
      <c r="BE332" s="91">
        <v>2.78</v>
      </c>
      <c r="BF332" s="91">
        <v>0.27</v>
      </c>
      <c r="BG332" s="91">
        <v>8.15</v>
      </c>
      <c r="BH332" s="91"/>
      <c r="BI332" s="91"/>
      <c r="BJ332" s="91">
        <v>0.27</v>
      </c>
      <c r="BK332" s="91">
        <v>0</v>
      </c>
      <c r="BL332" s="97">
        <v>0</v>
      </c>
      <c r="BM332" s="275">
        <f t="shared" si="158"/>
        <v>13.277226000000001</v>
      </c>
      <c r="BN332" s="319"/>
      <c r="BO332" s="320"/>
      <c r="BP332" s="321"/>
      <c r="BQ332" s="321"/>
      <c r="BR332" s="320"/>
      <c r="BS332" s="321"/>
      <c r="BT332" s="321"/>
      <c r="BU332" s="280">
        <f t="shared" si="159"/>
        <v>0</v>
      </c>
      <c r="BV332" s="322"/>
      <c r="BW332" s="320"/>
      <c r="BX332" s="320"/>
      <c r="BY332" s="320"/>
      <c r="BZ332" s="320"/>
      <c r="CA332" s="320"/>
      <c r="CB332" s="320"/>
      <c r="CC332" s="275">
        <f t="shared" si="160"/>
        <v>0</v>
      </c>
      <c r="CD332" s="98">
        <v>6.93</v>
      </c>
      <c r="CE332" s="91">
        <v>10.74</v>
      </c>
      <c r="CF332" s="91">
        <v>9.43</v>
      </c>
      <c r="CG332" s="91">
        <v>6.01</v>
      </c>
      <c r="CH332" s="266">
        <f t="shared" si="161"/>
        <v>86.724386724386733</v>
      </c>
      <c r="CI332" s="320"/>
      <c r="CJ332" s="280">
        <f t="shared" si="162"/>
        <v>52.055408333333332</v>
      </c>
      <c r="CK332" s="83">
        <v>5.38</v>
      </c>
      <c r="CL332" s="91">
        <v>9.76</v>
      </c>
      <c r="CM332" s="91">
        <v>8.82</v>
      </c>
      <c r="CN332" s="91">
        <v>2.7</v>
      </c>
      <c r="CO332" s="256">
        <f t="shared" si="163"/>
        <v>50.185873605947961</v>
      </c>
      <c r="CP332" s="320"/>
      <c r="CQ332" s="256">
        <f t="shared" si="164"/>
        <v>25.052033333333334</v>
      </c>
      <c r="CR332" s="256" t="str">
        <f>IF(CO332&lt;'Look Ups'!$AC$4,"Yes","No")</f>
        <v>Yes</v>
      </c>
      <c r="CS332" s="293">
        <f>IF(CR332="Yes",MIN(150,('Look Ups'!$AC$4-PSCR)/('Look Ups'!$AC$4-'Look Ups'!$AC$3)*100),0)</f>
        <v>36.282527881040778</v>
      </c>
      <c r="CT332" s="83"/>
      <c r="CU332" s="91"/>
      <c r="CV332" s="91"/>
      <c r="CW332" s="91"/>
      <c r="CX332" s="256" t="str">
        <f t="shared" si="165"/>
        <v/>
      </c>
      <c r="CY332" s="293">
        <f>IF(PUSCR&lt;'Look Ups'!$AC$4,MIN(150,('Look Ups'!$AC$4-PUSCR)/('Look Ups'!$AC$4-'Look Ups'!$AC$3)*100),0)</f>
        <v>0</v>
      </c>
      <c r="CZ332" s="275">
        <f>IF(PUSCR&lt;'Look Ups'!$AC$4,USCRF*(USCRL1+USCRL2)/4+(USCRMG-USCRF/2)*(USCRL1+USCRL2)/3,0)</f>
        <v>0</v>
      </c>
      <c r="DA332" s="294">
        <f t="shared" si="166"/>
        <v>1</v>
      </c>
      <c r="DB332" s="256">
        <f t="shared" si="167"/>
        <v>25.199547699999997</v>
      </c>
      <c r="DC332" s="256">
        <f t="shared" si="168"/>
        <v>1</v>
      </c>
      <c r="DD332" s="256">
        <f t="shared" si="169"/>
        <v>13.277226000000001</v>
      </c>
      <c r="DE332" s="256">
        <f>IF(AZ332&gt;0,'Look Ups'!$S$3,0)</f>
        <v>1</v>
      </c>
      <c r="DF332" s="256">
        <f t="shared" si="170"/>
        <v>0</v>
      </c>
      <c r="DG332" s="256">
        <f t="shared" si="171"/>
        <v>0</v>
      </c>
      <c r="DH332" s="256">
        <f t="shared" si="172"/>
        <v>0</v>
      </c>
      <c r="DI332" s="280">
        <f t="shared" si="173"/>
        <v>0</v>
      </c>
      <c r="DJ332" s="295" t="str">
        <f t="shared" si="174"/>
        <v>valid</v>
      </c>
      <c r="DK332" s="266" t="str">
        <f t="shared" si="175"/>
        <v>valid</v>
      </c>
      <c r="DL332" s="267" t="str">
        <f t="shared" si="176"/>
        <v>MGScrSP</v>
      </c>
      <c r="DM332" s="294">
        <f t="shared" si="177"/>
        <v>38.476773699999995</v>
      </c>
      <c r="DN332" s="256">
        <f>IF(MSASP&gt;0,'Look Ups'!$AI$4*(ZVAL*MSASP-RSAG),0)</f>
        <v>11.6334547</v>
      </c>
      <c r="DO332" s="256">
        <f>IF(AND(MSASC&gt;0,(MSASC&gt;=0.36*RSAM)),('Look Ups'!$AI$3*(ZVAL*MSASC-RSAG)),(0))</f>
        <v>4.1211825666666666</v>
      </c>
      <c r="DP332" s="256">
        <f>IF(MSASP&gt;0,'Look Ups'!$AI$5*(ZVAL*MSASP-RSAG),0)</f>
        <v>10.857891053333335</v>
      </c>
      <c r="DQ332" s="256">
        <f>IF(MSASC&gt;0,'Look Ups'!$AI$6*(MSASC-RSAG),0)</f>
        <v>0.82423651333333336</v>
      </c>
      <c r="DR332" s="280">
        <f>'Look Ups'!$AI$7*MAX(IF(MSAUSC&gt;0,EUSC/100*(MSAUSC-RSAG),0),IF(CR332="Yes",ELSC/100*(MSASC-RSAG),0))</f>
        <v>1.0680494384138752</v>
      </c>
      <c r="DS332" s="280">
        <f t="shared" si="178"/>
        <v>9.0718371719999986</v>
      </c>
      <c r="DT332" s="296">
        <f t="shared" si="179"/>
        <v>51.226950705080533</v>
      </c>
      <c r="DU332" s="14"/>
    </row>
    <row r="333" spans="1:125" ht="15.6" x14ac:dyDescent="0.3">
      <c r="B333" s="365"/>
      <c r="C333" s="369"/>
      <c r="D333" s="370"/>
      <c r="E333" s="371"/>
      <c r="F333" s="252">
        <f t="shared" ca="1" si="150"/>
        <v>0</v>
      </c>
      <c r="G333" s="252" t="str">
        <f ca="1">IF(OR(FLSCR="ERROR",FLSPI="ERROR"),"No",IF(TODAY()-'Look Ups'!$D$4*365&gt;I333,"WP Applied","Yes"))</f>
        <v>WP Applied</v>
      </c>
      <c r="H333" s="253" t="str">
        <f t="shared" si="151"/>
        <v/>
      </c>
      <c r="I333" s="1"/>
      <c r="J333" s="1"/>
      <c r="K333" s="87"/>
      <c r="L333" s="87"/>
      <c r="M333" s="207"/>
      <c r="N333" s="88"/>
      <c r="O333" s="88"/>
      <c r="P333" s="89"/>
      <c r="Q333" s="90"/>
      <c r="R333" s="87"/>
      <c r="S333" s="256">
        <f t="shared" si="152"/>
        <v>0</v>
      </c>
      <c r="T333" s="117"/>
      <c r="U333" s="117">
        <v>0</v>
      </c>
      <c r="V333" s="258">
        <f t="shared" si="153"/>
        <v>0</v>
      </c>
      <c r="W333" s="259">
        <f>IF(RL&gt;0,IF(RL&gt;'Look Ups'!Y$7,'Look Ups'!Y$8,('Look Ups'!Y$3*RL^3+'Look Ups'!Y$4*RL^2+'Look Ups'!Y$5*RL+'Look Ups'!Y$6)),0)</f>
        <v>0</v>
      </c>
      <c r="X333" s="92"/>
      <c r="Y333" s="263">
        <f ca="1">IF(WDATE&lt;(TODAY()-'Look Ups'!$D$4*365),-WM*'Look Ups'!$D$5/100,0)</f>
        <v>0</v>
      </c>
      <c r="Z333" s="103"/>
      <c r="AA333" s="109"/>
      <c r="AB333" s="109"/>
      <c r="AC333" s="265">
        <f>WCD+NC*'Look Ups'!$AF$3</f>
        <v>0</v>
      </c>
      <c r="AD333" s="265">
        <f ca="1">IF(RL&lt;'Look Ups'!AM$3,'Look Ups'!AM$4,IF(RL&gt;'Look Ups'!AM$5,'Look Ups'!AM$6,(RL-'Look Ups'!AM$3)/('Look Ups'!AM$5-'Look Ups'!AM$3)*('Look Ups'!AM$6-'Look Ups'!AM$4)+'Look Ups'!AM$4))/100*WS</f>
        <v>0</v>
      </c>
      <c r="AE333" s="269">
        <f t="shared" ca="1" si="154"/>
        <v>0</v>
      </c>
      <c r="AF333" s="267">
        <f t="shared" ca="1" si="155"/>
        <v>0</v>
      </c>
      <c r="AG333" s="94"/>
      <c r="AH333" s="95"/>
      <c r="AI333" s="96"/>
      <c r="AJ333" s="218"/>
      <c r="AK333" s="273">
        <f>IF(C333="",0,VLOOKUP(AG333,'Look Ups'!$F$3:$G$6,2,0)*VLOOKUP(AH333,'Look Ups'!$I$3:$J$5,2,0)*VLOOKUP(AI333,'Look Ups'!$L$3:$M$7,2,0)*IF(AJ333="",1,VLOOKUP(AJ333,'Look Ups'!$O$3:$P$4,2,0)))</f>
        <v>0</v>
      </c>
      <c r="AL333" s="83"/>
      <c r="AM333" s="91"/>
      <c r="AN333" s="91"/>
      <c r="AO333" s="91"/>
      <c r="AP333" s="91"/>
      <c r="AQ333" s="91"/>
      <c r="AR333" s="91"/>
      <c r="AS333" s="91"/>
      <c r="AT333" s="91"/>
      <c r="AU333" s="91"/>
      <c r="AV333" s="91"/>
      <c r="AW333" s="97"/>
      <c r="AX333" s="256">
        <f t="shared" si="156"/>
        <v>0</v>
      </c>
      <c r="AY333" s="256">
        <f t="shared" si="157"/>
        <v>0</v>
      </c>
      <c r="AZ333" s="275">
        <f>IF(C333="",0,(0.5*(_ML1*LPM)+0.5*(_ML1*HB)+0.66*(P*PR)+0.66*(_ML2*RDM)+0.66*(E*ER))*VLOOKUP(BATT,'Look Ups'!$U$3:$V$4,2,0))</f>
        <v>0</v>
      </c>
      <c r="BA333" s="98"/>
      <c r="BB333" s="99"/>
      <c r="BC333" s="83"/>
      <c r="BD333" s="91"/>
      <c r="BE333" s="91"/>
      <c r="BF333" s="91"/>
      <c r="BG333" s="91"/>
      <c r="BH333" s="91"/>
      <c r="BI333" s="91"/>
      <c r="BJ333" s="91"/>
      <c r="BK333" s="91"/>
      <c r="BL333" s="97"/>
      <c r="BM333" s="275">
        <f t="shared" si="158"/>
        <v>0</v>
      </c>
      <c r="BN333" s="319"/>
      <c r="BO333" s="320"/>
      <c r="BP333" s="321"/>
      <c r="BQ333" s="321"/>
      <c r="BR333" s="320"/>
      <c r="BS333" s="321"/>
      <c r="BT333" s="321"/>
      <c r="BU333" s="280">
        <f t="shared" si="159"/>
        <v>0</v>
      </c>
      <c r="BV333" s="322"/>
      <c r="BW333" s="320"/>
      <c r="BX333" s="320"/>
      <c r="BY333" s="320"/>
      <c r="BZ333" s="320"/>
      <c r="CA333" s="320"/>
      <c r="CB333" s="320"/>
      <c r="CC333" s="275">
        <f t="shared" si="160"/>
        <v>0</v>
      </c>
      <c r="CD333" s="98"/>
      <c r="CE333" s="91"/>
      <c r="CF333" s="91"/>
      <c r="CG333" s="91"/>
      <c r="CH333" s="266" t="str">
        <f t="shared" si="161"/>
        <v/>
      </c>
      <c r="CI333" s="320"/>
      <c r="CJ333" s="280">
        <f t="shared" si="162"/>
        <v>0</v>
      </c>
      <c r="CK333" s="83"/>
      <c r="CL333" s="91"/>
      <c r="CM333" s="91"/>
      <c r="CN333" s="91"/>
      <c r="CO333" s="256" t="str">
        <f t="shared" si="163"/>
        <v/>
      </c>
      <c r="CP333" s="320"/>
      <c r="CQ333" s="256">
        <f t="shared" si="164"/>
        <v>0</v>
      </c>
      <c r="CR333" s="256" t="str">
        <f>IF(CO333&lt;'Look Ups'!$AC$4,"Yes","No")</f>
        <v>No</v>
      </c>
      <c r="CS333" s="293">
        <f>IF(CR333="Yes",MIN(150,('Look Ups'!$AC$4-PSCR)/('Look Ups'!$AC$4-'Look Ups'!$AC$3)*100),0)</f>
        <v>0</v>
      </c>
      <c r="CT333" s="83"/>
      <c r="CU333" s="91"/>
      <c r="CV333" s="91"/>
      <c r="CW333" s="91"/>
      <c r="CX333" s="256" t="str">
        <f t="shared" si="165"/>
        <v/>
      </c>
      <c r="CY333" s="293">
        <f>IF(PUSCR&lt;'Look Ups'!$AC$4,MIN(150,('Look Ups'!$AC$4-PUSCR)/('Look Ups'!$AC$4-'Look Ups'!$AC$3)*100),0)</f>
        <v>0</v>
      </c>
      <c r="CZ333" s="275">
        <f>IF(PUSCR&lt;'Look Ups'!$AC$4,USCRF*(USCRL1+USCRL2)/4+(USCRMG-USCRF/2)*(USCRL1+USCRL2)/3,0)</f>
        <v>0</v>
      </c>
      <c r="DA333" s="294">
        <f t="shared" si="166"/>
        <v>0</v>
      </c>
      <c r="DB333" s="256">
        <f t="shared" si="167"/>
        <v>0</v>
      </c>
      <c r="DC333" s="256">
        <f t="shared" si="168"/>
        <v>0</v>
      </c>
      <c r="DD333" s="256">
        <f t="shared" si="169"/>
        <v>0</v>
      </c>
      <c r="DE333" s="256">
        <f>IF(AZ333&gt;0,'Look Ups'!$S$3,0)</f>
        <v>0</v>
      </c>
      <c r="DF333" s="256">
        <f t="shared" si="170"/>
        <v>0</v>
      </c>
      <c r="DG333" s="256">
        <f t="shared" si="171"/>
        <v>0</v>
      </c>
      <c r="DH333" s="256">
        <f t="shared" si="172"/>
        <v>0</v>
      </c>
      <c r="DI333" s="280">
        <f t="shared" si="173"/>
        <v>0</v>
      </c>
      <c r="DJ333" s="295" t="str">
        <f t="shared" si="174"/>
        <v>-</v>
      </c>
      <c r="DK333" s="266" t="str">
        <f t="shared" si="175"/>
        <v>-</v>
      </c>
      <c r="DL333" s="267" t="str">
        <f t="shared" si="176"/>
        <v/>
      </c>
      <c r="DM333" s="294">
        <f t="shared" si="177"/>
        <v>0</v>
      </c>
      <c r="DN333" s="256">
        <f>IF(MSASP&gt;0,'Look Ups'!$AI$4*(ZVAL*MSASP-RSAG),0)</f>
        <v>0</v>
      </c>
      <c r="DO333" s="256">
        <f>IF(AND(MSASC&gt;0,(MSASC&gt;=0.36*RSAM)),('Look Ups'!$AI$3*(ZVAL*MSASC-RSAG)),(0))</f>
        <v>0</v>
      </c>
      <c r="DP333" s="256">
        <f>IF(MSASP&gt;0,'Look Ups'!$AI$5*(ZVAL*MSASP-RSAG),0)</f>
        <v>0</v>
      </c>
      <c r="DQ333" s="256">
        <f>IF(MSASC&gt;0,'Look Ups'!$AI$6*(MSASC-RSAG),0)</f>
        <v>0</v>
      </c>
      <c r="DR333" s="280">
        <f>'Look Ups'!$AI$7*MAX(IF(MSAUSC&gt;0,EUSC/100*(MSAUSC-RSAG),0),IF(CR333="Yes",ELSC/100*(MSASC-RSAG),0))</f>
        <v>0</v>
      </c>
      <c r="DS333" s="280">
        <f t="shared" si="178"/>
        <v>0</v>
      </c>
      <c r="DT333" s="296" t="e">
        <f t="shared" si="179"/>
        <v>#N/A</v>
      </c>
    </row>
    <row r="334" spans="1:125" ht="15.6" x14ac:dyDescent="0.3">
      <c r="B334" s="365"/>
      <c r="C334" s="369"/>
      <c r="D334" s="370"/>
      <c r="E334" s="371"/>
      <c r="F334" s="252">
        <f t="shared" ca="1" si="150"/>
        <v>0</v>
      </c>
      <c r="G334" s="252" t="str">
        <f ca="1">IF(OR(FLSCR="ERROR",FLSPI="ERROR"),"No",IF(TODAY()-'Look Ups'!$D$4*365&gt;I334,"WP Applied","Yes"))</f>
        <v>WP Applied</v>
      </c>
      <c r="H334" s="253" t="str">
        <f t="shared" si="151"/>
        <v/>
      </c>
      <c r="I334" s="1"/>
      <c r="J334" s="1"/>
      <c r="K334" s="87"/>
      <c r="L334" s="87"/>
      <c r="M334" s="207"/>
      <c r="N334" s="88"/>
      <c r="O334" s="88"/>
      <c r="P334" s="89"/>
      <c r="Q334" s="90"/>
      <c r="R334" s="87"/>
      <c r="S334" s="256">
        <f t="shared" si="152"/>
        <v>0</v>
      </c>
      <c r="T334" s="117"/>
      <c r="U334" s="117">
        <v>0</v>
      </c>
      <c r="V334" s="258">
        <f t="shared" si="153"/>
        <v>0</v>
      </c>
      <c r="W334" s="259">
        <f>IF(RL&gt;0,IF(RL&gt;'Look Ups'!Y$7,'Look Ups'!Y$8,('Look Ups'!Y$3*RL^3+'Look Ups'!Y$4*RL^2+'Look Ups'!Y$5*RL+'Look Ups'!Y$6)),0)</f>
        <v>0</v>
      </c>
      <c r="X334" s="92"/>
      <c r="Y334" s="263">
        <f ca="1">IF(WDATE&lt;(TODAY()-'Look Ups'!$D$4*365),-WM*'Look Ups'!$D$5/100,0)</f>
        <v>0</v>
      </c>
      <c r="Z334" s="103"/>
      <c r="AA334" s="109"/>
      <c r="AB334" s="109"/>
      <c r="AC334" s="265">
        <f>WCD+NC*'Look Ups'!$AF$3</f>
        <v>0</v>
      </c>
      <c r="AD334" s="265">
        <f ca="1">IF(RL&lt;'Look Ups'!AM$3,'Look Ups'!AM$4,IF(RL&gt;'Look Ups'!AM$5,'Look Ups'!AM$6,(RL-'Look Ups'!AM$3)/('Look Ups'!AM$5-'Look Ups'!AM$3)*('Look Ups'!AM$6-'Look Ups'!AM$4)+'Look Ups'!AM$4))/100*WS</f>
        <v>0</v>
      </c>
      <c r="AE334" s="269">
        <f t="shared" ca="1" si="154"/>
        <v>0</v>
      </c>
      <c r="AF334" s="267">
        <f t="shared" ca="1" si="155"/>
        <v>0</v>
      </c>
      <c r="AG334" s="94"/>
      <c r="AH334" s="95"/>
      <c r="AI334" s="96"/>
      <c r="AJ334" s="218"/>
      <c r="AK334" s="273">
        <f>IF(C334="",0,VLOOKUP(AG334,'Look Ups'!$F$3:$G$6,2,0)*VLOOKUP(AH334,'Look Ups'!$I$3:$J$5,2,0)*VLOOKUP(AI334,'Look Ups'!$L$3:$M$7,2,0)*IF(AJ334="",1,VLOOKUP(AJ334,'Look Ups'!$O$3:$P$4,2,0)))</f>
        <v>0</v>
      </c>
      <c r="AL334" s="83"/>
      <c r="AM334" s="91"/>
      <c r="AN334" s="91"/>
      <c r="AO334" s="91"/>
      <c r="AP334" s="91"/>
      <c r="AQ334" s="91"/>
      <c r="AR334" s="91"/>
      <c r="AS334" s="91"/>
      <c r="AT334" s="91"/>
      <c r="AU334" s="91"/>
      <c r="AV334" s="91"/>
      <c r="AW334" s="97"/>
      <c r="AX334" s="256">
        <f t="shared" si="156"/>
        <v>0</v>
      </c>
      <c r="AY334" s="256">
        <f t="shared" si="157"/>
        <v>0</v>
      </c>
      <c r="AZ334" s="275">
        <f>IF(C334="",0,(0.5*(_ML1*LPM)+0.5*(_ML1*HB)+0.66*(P*PR)+0.66*(_ML2*RDM)+0.66*(E*ER))*VLOOKUP(BATT,'Look Ups'!$U$3:$V$4,2,0))</f>
        <v>0</v>
      </c>
      <c r="BA334" s="98"/>
      <c r="BB334" s="99"/>
      <c r="BC334" s="83"/>
      <c r="BD334" s="91"/>
      <c r="BE334" s="91"/>
      <c r="BF334" s="91"/>
      <c r="BG334" s="91"/>
      <c r="BH334" s="91"/>
      <c r="BI334" s="91"/>
      <c r="BJ334" s="91"/>
      <c r="BK334" s="91"/>
      <c r="BL334" s="97"/>
      <c r="BM334" s="275">
        <f t="shared" si="158"/>
        <v>0</v>
      </c>
      <c r="BN334" s="319"/>
      <c r="BO334" s="320"/>
      <c r="BP334" s="321"/>
      <c r="BQ334" s="321"/>
      <c r="BR334" s="320"/>
      <c r="BS334" s="321"/>
      <c r="BT334" s="321"/>
      <c r="BU334" s="280">
        <f t="shared" si="159"/>
        <v>0</v>
      </c>
      <c r="BV334" s="322"/>
      <c r="BW334" s="320"/>
      <c r="BX334" s="320"/>
      <c r="BY334" s="320"/>
      <c r="BZ334" s="320"/>
      <c r="CA334" s="320"/>
      <c r="CB334" s="320"/>
      <c r="CC334" s="275">
        <f t="shared" si="160"/>
        <v>0</v>
      </c>
      <c r="CD334" s="98"/>
      <c r="CE334" s="91"/>
      <c r="CF334" s="91"/>
      <c r="CG334" s="91"/>
      <c r="CH334" s="266" t="str">
        <f t="shared" si="161"/>
        <v/>
      </c>
      <c r="CI334" s="320"/>
      <c r="CJ334" s="280">
        <f t="shared" si="162"/>
        <v>0</v>
      </c>
      <c r="CK334" s="83"/>
      <c r="CL334" s="91"/>
      <c r="CM334" s="91"/>
      <c r="CN334" s="91"/>
      <c r="CO334" s="256" t="str">
        <f t="shared" si="163"/>
        <v/>
      </c>
      <c r="CP334" s="320"/>
      <c r="CQ334" s="256">
        <f t="shared" si="164"/>
        <v>0</v>
      </c>
      <c r="CR334" s="256" t="str">
        <f>IF(CO334&lt;'Look Ups'!$AC$4,"Yes","No")</f>
        <v>No</v>
      </c>
      <c r="CS334" s="293">
        <f>IF(CR334="Yes",MIN(150,('Look Ups'!$AC$4-PSCR)/('Look Ups'!$AC$4-'Look Ups'!$AC$3)*100),0)</f>
        <v>0</v>
      </c>
      <c r="CT334" s="83"/>
      <c r="CU334" s="91"/>
      <c r="CV334" s="91"/>
      <c r="CW334" s="91"/>
      <c r="CX334" s="256" t="str">
        <f t="shared" si="165"/>
        <v/>
      </c>
      <c r="CY334" s="293">
        <f>IF(PUSCR&lt;'Look Ups'!$AC$4,MIN(150,('Look Ups'!$AC$4-PUSCR)/('Look Ups'!$AC$4-'Look Ups'!$AC$3)*100),0)</f>
        <v>0</v>
      </c>
      <c r="CZ334" s="275">
        <f>IF(PUSCR&lt;'Look Ups'!$AC$4,USCRF*(USCRL1+USCRL2)/4+(USCRMG-USCRF/2)*(USCRL1+USCRL2)/3,0)</f>
        <v>0</v>
      </c>
      <c r="DA334" s="294">
        <f t="shared" si="166"/>
        <v>0</v>
      </c>
      <c r="DB334" s="256">
        <f t="shared" si="167"/>
        <v>0</v>
      </c>
      <c r="DC334" s="256">
        <f t="shared" si="168"/>
        <v>0</v>
      </c>
      <c r="DD334" s="256">
        <f t="shared" si="169"/>
        <v>0</v>
      </c>
      <c r="DE334" s="256">
        <f>IF(AZ334&gt;0,'Look Ups'!$S$3,0)</f>
        <v>0</v>
      </c>
      <c r="DF334" s="256">
        <f t="shared" si="170"/>
        <v>0</v>
      </c>
      <c r="DG334" s="256">
        <f t="shared" si="171"/>
        <v>0</v>
      </c>
      <c r="DH334" s="256">
        <f t="shared" si="172"/>
        <v>0</v>
      </c>
      <c r="DI334" s="280">
        <f t="shared" si="173"/>
        <v>0</v>
      </c>
      <c r="DJ334" s="295" t="str">
        <f t="shared" si="174"/>
        <v>-</v>
      </c>
      <c r="DK334" s="266" t="str">
        <f t="shared" si="175"/>
        <v>-</v>
      </c>
      <c r="DL334" s="267" t="str">
        <f t="shared" si="176"/>
        <v/>
      </c>
      <c r="DM334" s="294">
        <f t="shared" si="177"/>
        <v>0</v>
      </c>
      <c r="DN334" s="256">
        <f>IF(MSASP&gt;0,'Look Ups'!$AI$4*(ZVAL*MSASP-RSAG),0)</f>
        <v>0</v>
      </c>
      <c r="DO334" s="256">
        <f>IF(AND(MSASC&gt;0,(MSASC&gt;=0.36*RSAM)),('Look Ups'!$AI$3*(ZVAL*MSASC-RSAG)),(0))</f>
        <v>0</v>
      </c>
      <c r="DP334" s="256">
        <f>IF(MSASP&gt;0,'Look Ups'!$AI$5*(ZVAL*MSASP-RSAG),0)</f>
        <v>0</v>
      </c>
      <c r="DQ334" s="256">
        <f>IF(MSASC&gt;0,'Look Ups'!$AI$6*(MSASC-RSAG),0)</f>
        <v>0</v>
      </c>
      <c r="DR334" s="280">
        <f>'Look Ups'!$AI$7*MAX(IF(MSAUSC&gt;0,EUSC/100*(MSAUSC-RSAG),0),IF(CR334="Yes",ELSC/100*(MSASC-RSAG),0))</f>
        <v>0</v>
      </c>
      <c r="DS334" s="280">
        <f t="shared" si="178"/>
        <v>0</v>
      </c>
      <c r="DT334" s="296" t="e">
        <f t="shared" si="179"/>
        <v>#N/A</v>
      </c>
    </row>
    <row r="335" spans="1:125" ht="15.6" x14ac:dyDescent="0.3">
      <c r="B335" s="365"/>
      <c r="C335" s="6"/>
      <c r="D335" s="7"/>
      <c r="E335" s="4"/>
      <c r="F335" s="8"/>
      <c r="G335" s="8"/>
      <c r="H335" s="8"/>
      <c r="I335" s="9"/>
      <c r="J335" s="5"/>
      <c r="K335" s="10"/>
      <c r="L335" s="5"/>
      <c r="M335" s="5"/>
      <c r="N335" s="11"/>
      <c r="O335" s="11"/>
      <c r="P335" s="12"/>
      <c r="Q335" s="12"/>
      <c r="R335" s="12"/>
      <c r="S335" s="12"/>
      <c r="T335" s="12"/>
      <c r="U335" s="12"/>
      <c r="V335" s="5"/>
      <c r="W335" s="5"/>
      <c r="X335" s="5"/>
      <c r="Y335" s="5"/>
      <c r="Z335" s="5"/>
      <c r="AA335" s="13"/>
      <c r="AB335" s="13"/>
      <c r="AC335" s="13"/>
      <c r="AD335" s="13"/>
      <c r="AE335" s="5"/>
      <c r="AF335" s="13"/>
      <c r="AG335" s="12"/>
      <c r="AH335" s="12"/>
      <c r="AI335" s="10"/>
      <c r="AJ335" s="10"/>
      <c r="AK335" s="10"/>
      <c r="AL335" s="5"/>
      <c r="AM335" s="13"/>
      <c r="AN335" s="13"/>
      <c r="AO335" s="13"/>
      <c r="AP335" s="13"/>
      <c r="AQ335" s="13"/>
      <c r="AR335" s="13"/>
      <c r="AS335" s="12"/>
      <c r="AT335" s="12"/>
      <c r="AU335" s="12"/>
      <c r="AV335" s="12"/>
      <c r="AW335" s="11"/>
      <c r="AX335" s="12"/>
      <c r="AY335" s="12"/>
      <c r="AZ335" s="12"/>
      <c r="BA335" s="12"/>
      <c r="BB335" s="12"/>
      <c r="BC335" s="12"/>
      <c r="BD335" s="12"/>
      <c r="BE335" s="12"/>
      <c r="BF335" s="12"/>
      <c r="BG335" s="12"/>
      <c r="BH335" s="12"/>
      <c r="BI335" s="12"/>
      <c r="BJ335" s="12"/>
      <c r="BK335" s="12"/>
      <c r="BL335" s="12"/>
      <c r="BM335" s="12"/>
      <c r="BN335" s="12"/>
      <c r="BO335" s="12"/>
      <c r="BP335" s="12"/>
      <c r="BQ335" s="12"/>
      <c r="BR335" s="13"/>
      <c r="BS335" s="11"/>
      <c r="BT335" s="12"/>
      <c r="BU335" s="5"/>
      <c r="BV335" s="5"/>
      <c r="BW335" s="12"/>
      <c r="BX335" s="5"/>
      <c r="BY335" s="5"/>
      <c r="BZ335" s="13"/>
      <c r="CA335" s="13"/>
      <c r="CB335" s="12"/>
      <c r="CC335" s="12"/>
      <c r="CD335" s="12"/>
      <c r="CE335" s="12"/>
      <c r="CF335" s="12"/>
      <c r="CG335" s="12"/>
      <c r="CH335" s="13"/>
      <c r="CI335" s="13"/>
      <c r="CJ335" s="12"/>
      <c r="CK335" s="12"/>
      <c r="CL335" s="12"/>
      <c r="CM335" s="12"/>
      <c r="CN335" s="12"/>
      <c r="CO335" s="12"/>
      <c r="CP335" s="12"/>
      <c r="CQ335" s="12"/>
      <c r="CR335" s="12"/>
      <c r="CS335" s="12"/>
      <c r="CT335" s="12"/>
      <c r="CU335" s="12"/>
      <c r="CV335" s="12"/>
      <c r="CW335" s="12"/>
      <c r="CX335" s="12"/>
      <c r="CY335" s="12"/>
      <c r="CZ335" s="12"/>
      <c r="DA335" s="12"/>
      <c r="DB335" s="12"/>
      <c r="DC335" s="12"/>
      <c r="DD335" s="12"/>
      <c r="DE335" s="12"/>
      <c r="DF335" s="5"/>
      <c r="DG335" s="12"/>
      <c r="DH335" s="12"/>
      <c r="DI335" s="12"/>
      <c r="DJ335" s="12"/>
      <c r="DK335" s="12"/>
      <c r="DL335" s="12" t="str">
        <f>IF(C335="","",CONCATENATE("MG",IF(_xlfn.SINGLE(FLSPI)="valid","Sp",""),IF(_xlfn.SINGLE(FLSCR)="valid","Scr",""),IF(_xlfn.SINGLE(FLUSCR)="valid","UScr","")))</f>
        <v/>
      </c>
      <c r="DM335" s="5"/>
      <c r="DN335" s="5"/>
      <c r="DO335" s="5"/>
      <c r="DP335" s="5"/>
      <c r="DQ335" s="5"/>
      <c r="DR335" s="5"/>
      <c r="DS335" s="5"/>
      <c r="DT335" s="5"/>
    </row>
  </sheetData>
  <sortState xmlns:xlrd2="http://schemas.microsoft.com/office/spreadsheetml/2017/richdata2" ref="B5:DT14">
    <sortCondition ref="C5:C14"/>
  </sortState>
  <mergeCells count="16">
    <mergeCell ref="CK3:CS3"/>
    <mergeCell ref="DA3:DI3"/>
    <mergeCell ref="DJ3:DL3"/>
    <mergeCell ref="DM3:DS3"/>
    <mergeCell ref="C154:E154"/>
    <mergeCell ref="BC3:BM3"/>
    <mergeCell ref="BN3:BU3"/>
    <mergeCell ref="BV3:CC3"/>
    <mergeCell ref="CD3:CJ3"/>
    <mergeCell ref="CT3:CZ3"/>
    <mergeCell ref="B2:D3"/>
    <mergeCell ref="Q3:V3"/>
    <mergeCell ref="X3:AF3"/>
    <mergeCell ref="AG3:AK3"/>
    <mergeCell ref="AL3:AZ3"/>
    <mergeCell ref="BA3:BB3"/>
  </mergeCells>
  <conditionalFormatting sqref="E69">
    <cfRule type="expression" priority="159" stopIfTrue="1">
      <formula>NA()</formula>
    </cfRule>
  </conditionalFormatting>
  <conditionalFormatting sqref="F5:F152 F156:F334">
    <cfRule type="expression" dxfId="15" priority="39">
      <formula>$G5="WP Applied"</formula>
    </cfRule>
    <cfRule type="expression" dxfId="14" priority="42">
      <formula>$G5="No"</formula>
    </cfRule>
  </conditionalFormatting>
  <conditionalFormatting sqref="G5:G152 G156:G334">
    <cfRule type="cellIs" dxfId="13" priority="40" operator="equal">
      <formula>"WP Applied"</formula>
    </cfRule>
    <cfRule type="cellIs" dxfId="12" priority="41" operator="equal">
      <formula>"No"</formula>
    </cfRule>
  </conditionalFormatting>
  <conditionalFormatting sqref="I5:I152">
    <cfRule type="cellIs" priority="1" stopIfTrue="1" operator="equal">
      <formula>""</formula>
    </cfRule>
    <cfRule type="cellIs" dxfId="11" priority="2" operator="lessThan">
      <formula>TODAY()-3650</formula>
    </cfRule>
    <cfRule type="cellIs" dxfId="10" priority="3" operator="lessThan">
      <formula>TODAY()-2920</formula>
    </cfRule>
  </conditionalFormatting>
  <conditionalFormatting sqref="I156:I334">
    <cfRule type="cellIs" priority="66" stopIfTrue="1" operator="equal">
      <formula>""</formula>
    </cfRule>
    <cfRule type="cellIs" dxfId="9" priority="70" operator="lessThan">
      <formula>TODAY()-3650</formula>
    </cfRule>
    <cfRule type="cellIs" dxfId="8" priority="71" operator="lessThan">
      <formula>TODAY()-2920</formula>
    </cfRule>
  </conditionalFormatting>
  <conditionalFormatting sqref="AC5:AC152 AC156:AC334">
    <cfRule type="expression" dxfId="7" priority="35">
      <formula>AC5&gt;AD5</formula>
    </cfRule>
  </conditionalFormatting>
  <conditionalFormatting sqref="CH5:CH152 CX5:CX152 CH156:CH334 CX156:CX334">
    <cfRule type="cellIs" priority="38" stopIfTrue="1" operator="equal">
      <formula>""</formula>
    </cfRule>
  </conditionalFormatting>
  <conditionalFormatting sqref="CR5:CR152 CR156:CR334">
    <cfRule type="cellIs" dxfId="5" priority="26" operator="equal">
      <formula>"Yes"</formula>
    </cfRule>
  </conditionalFormatting>
  <conditionalFormatting sqref="DJ5:DK152">
    <cfRule type="cellIs" dxfId="3" priority="4" stopIfTrue="1" operator="equal">
      <formula>"na()"</formula>
    </cfRule>
    <cfRule type="cellIs" dxfId="2" priority="5" stopIfTrue="1" operator="equal">
      <formula>"ERROR"</formula>
    </cfRule>
  </conditionalFormatting>
  <conditionalFormatting sqref="DJ156:DK334">
    <cfRule type="cellIs" dxfId="1" priority="149" stopIfTrue="1" operator="equal">
      <formula>"na()"</formula>
    </cfRule>
    <cfRule type="cellIs" dxfId="0" priority="150" stopIfTrue="1" operator="equal">
      <formula>"ERROR"</formula>
    </cfRule>
  </conditionalFormatting>
  <pageMargins left="0.7" right="0.7" top="0.75" bottom="0.75" header="0.3" footer="0.3"/>
  <pageSetup paperSize="9" orientation="portrait" horizontalDpi="4294967292" verticalDpi="1200"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61" operator="lessThan" id="{EDD073F7-BC60-456D-A32E-CF6EFF226A3E}">
            <xm:f>'Look Ups'!$AC$7</xm:f>
            <x14:dxf>
              <fill>
                <patternFill>
                  <bgColor rgb="FFFF7979"/>
                </patternFill>
              </fill>
            </x14:dxf>
          </x14:cfRule>
          <xm:sqref>CH5:CH152 CH156:CH334</xm:sqref>
        </x14:conditionalFormatting>
        <x14:conditionalFormatting xmlns:xm="http://schemas.microsoft.com/office/excel/2006/main">
          <x14:cfRule type="cellIs" priority="160" operator="lessThan" id="{A09AB035-B86F-416E-88D5-748F8D952978}">
            <xm:f>'Look Ups'!$AC$4</xm:f>
            <x14:dxf>
              <font>
                <color auto="1"/>
              </font>
              <fill>
                <patternFill>
                  <fgColor rgb="FFFFF2CC"/>
                  <bgColor theme="7" tint="0.79998168889431442"/>
                </patternFill>
              </fill>
            </x14:dxf>
          </x14:cfRule>
          <xm:sqref>CX5:CX152 CX156:CX334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9CFFF3BE-D6C8-4AF8-ABC9-B0014A3B6CA7}">
          <x14:formula1>
            <xm:f>'Look Ups'!$F$3:$F$6</xm:f>
          </x14:formula1>
          <xm:sqref>AG156:AG334 AG106:AG152 AG5:AG104</xm:sqref>
        </x14:dataValidation>
        <x14:dataValidation type="list" allowBlank="1" showInputMessage="1" showErrorMessage="1" xr:uid="{9AB70738-21EC-409C-9BCF-F25B0B3BE762}">
          <x14:formula1>
            <xm:f>'Look Ups'!$I$3:$I$5</xm:f>
          </x14:formula1>
          <xm:sqref>AH156:AH334 AH106:AH152 AH5:AH104</xm:sqref>
        </x14:dataValidation>
        <x14:dataValidation type="list" allowBlank="1" showInputMessage="1" showErrorMessage="1" xr:uid="{317B3738-399A-44F5-B4DD-9ACA26038DBE}">
          <x14:formula1>
            <xm:f>'Look Ups'!$L$3:$L$7</xm:f>
          </x14:formula1>
          <xm:sqref>AI156:AI334 AI106:AI152 AI5:AI104</xm:sqref>
        </x14:dataValidation>
        <x14:dataValidation type="list" allowBlank="1" showInputMessage="1" showErrorMessage="1" xr:uid="{33BC216E-B0E9-44D0-9163-66E2D38C2CFF}">
          <x14:formula1>
            <xm:f>'Look Ups'!$O$3:$O$4</xm:f>
          </x14:formula1>
          <xm:sqref>AJ156:AJ334 AJ5:AJ152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0B8EB-A4EB-4524-9317-AF17620E2468}">
  <dimension ref="A1:AM35"/>
  <sheetViews>
    <sheetView zoomScale="90" zoomScaleNormal="90" workbookViewId="0">
      <selection activeCell="G9" sqref="G9"/>
    </sheetView>
  </sheetViews>
  <sheetFormatPr defaultColWidth="8.6640625" defaultRowHeight="14.4" x14ac:dyDescent="0.3"/>
  <cols>
    <col min="1" max="1" width="1.5546875" style="324" customWidth="1"/>
    <col min="2" max="2" width="24.5546875" style="324" customWidth="1"/>
    <col min="3" max="3" width="4.88671875" style="324" customWidth="1"/>
    <col min="4" max="4" width="8.6640625" style="324"/>
    <col min="5" max="5" width="1.5546875" style="324" customWidth="1"/>
    <col min="6" max="6" width="17.88671875" style="324" customWidth="1"/>
    <col min="7" max="7" width="8.6640625" style="324"/>
    <col min="8" max="8" width="1.5546875" style="324" customWidth="1"/>
    <col min="9" max="9" width="21.5546875" style="324" customWidth="1"/>
    <col min="10" max="10" width="8.6640625" style="324"/>
    <col min="11" max="11" width="1.5546875" style="324" customWidth="1"/>
    <col min="12" max="12" width="17.88671875" style="324" customWidth="1"/>
    <col min="13" max="13" width="8.6640625" style="324"/>
    <col min="14" max="14" width="1.5546875" style="324" customWidth="1"/>
    <col min="15" max="15" width="14.88671875" style="324" customWidth="1"/>
    <col min="16" max="16" width="8.6640625" style="324"/>
    <col min="17" max="17" width="1.5546875" style="324" customWidth="1"/>
    <col min="18" max="18" width="18.109375" style="324" customWidth="1"/>
    <col min="19" max="19" width="8.6640625" style="324"/>
    <col min="20" max="20" width="1.5546875" style="324" customWidth="1"/>
    <col min="21" max="22" width="8.6640625" style="324"/>
    <col min="23" max="23" width="1.5546875" style="324" customWidth="1"/>
    <col min="24" max="24" width="18.88671875" style="324" customWidth="1"/>
    <col min="25" max="25" width="8.6640625" style="324"/>
    <col min="26" max="26" width="1.5546875" style="324" customWidth="1"/>
    <col min="27" max="27" width="19.88671875" style="324" customWidth="1"/>
    <col min="28" max="28" width="4.88671875" style="324" customWidth="1"/>
    <col min="29" max="29" width="8.6640625" style="324"/>
    <col min="30" max="30" width="1.5546875" style="324" customWidth="1"/>
    <col min="31" max="31" width="18.109375" style="324" customWidth="1"/>
    <col min="32" max="32" width="8.6640625" style="324"/>
    <col min="33" max="33" width="1.5546875" style="324" customWidth="1"/>
    <col min="34" max="34" width="18.88671875" style="324" customWidth="1"/>
    <col min="35" max="35" width="9.109375" style="324" customWidth="1"/>
    <col min="36" max="36" width="1.5546875" style="324" customWidth="1"/>
    <col min="37" max="37" width="36.5546875" style="324" customWidth="1"/>
    <col min="38" max="38" width="4.88671875" style="324" customWidth="1"/>
    <col min="39" max="16384" width="8.6640625" style="324"/>
  </cols>
  <sheetData>
    <row r="1" spans="1:39" ht="15" thickBot="1" x14ac:dyDescent="0.35">
      <c r="A1" s="323"/>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D1" s="323"/>
      <c r="AE1" s="323"/>
      <c r="AF1" s="323"/>
      <c r="AG1" s="323"/>
      <c r="AH1" s="323"/>
      <c r="AI1" s="323"/>
      <c r="AJ1" s="323"/>
    </row>
    <row r="2" spans="1:39" ht="15" thickBot="1" x14ac:dyDescent="0.35">
      <c r="A2" s="323"/>
      <c r="B2" s="419" t="s">
        <v>1083</v>
      </c>
      <c r="C2" s="419"/>
      <c r="D2" s="419"/>
      <c r="E2" s="323"/>
      <c r="F2" s="416" t="s">
        <v>1084</v>
      </c>
      <c r="G2" s="416"/>
      <c r="H2" s="323"/>
      <c r="I2" s="416" t="s">
        <v>1085</v>
      </c>
      <c r="J2" s="416"/>
      <c r="K2" s="323"/>
      <c r="L2" s="416" t="s">
        <v>1086</v>
      </c>
      <c r="M2" s="416"/>
      <c r="N2" s="323"/>
      <c r="O2" s="416" t="s">
        <v>51</v>
      </c>
      <c r="P2" s="416"/>
      <c r="Q2" s="323"/>
      <c r="R2" s="416" t="s">
        <v>1087</v>
      </c>
      <c r="S2" s="416"/>
      <c r="T2" s="323"/>
      <c r="U2" s="416" t="s">
        <v>1088</v>
      </c>
      <c r="V2" s="416"/>
      <c r="W2" s="323"/>
      <c r="X2" s="416" t="s">
        <v>1089</v>
      </c>
      <c r="Y2" s="416"/>
      <c r="Z2" s="323"/>
      <c r="AA2" s="416" t="s">
        <v>1090</v>
      </c>
      <c r="AB2" s="416"/>
      <c r="AC2" s="416"/>
      <c r="AD2" s="323"/>
      <c r="AE2" s="416" t="s">
        <v>1091</v>
      </c>
      <c r="AF2" s="416"/>
      <c r="AG2" s="323"/>
      <c r="AH2" s="416" t="s">
        <v>1092</v>
      </c>
      <c r="AI2" s="416"/>
      <c r="AJ2" s="323"/>
      <c r="AK2" s="416" t="s">
        <v>1093</v>
      </c>
      <c r="AL2" s="416"/>
      <c r="AM2" s="416"/>
    </row>
    <row r="3" spans="1:39" ht="15" thickBot="1" x14ac:dyDescent="0.35">
      <c r="A3" s="323"/>
      <c r="B3" s="325" t="s">
        <v>1094</v>
      </c>
      <c r="C3" s="326" t="s">
        <v>1095</v>
      </c>
      <c r="D3" s="327">
        <v>8</v>
      </c>
      <c r="E3" s="323"/>
      <c r="F3" s="328" t="s">
        <v>145</v>
      </c>
      <c r="G3" s="329">
        <v>1</v>
      </c>
      <c r="H3" s="330"/>
      <c r="I3" s="328" t="s">
        <v>146</v>
      </c>
      <c r="J3" s="329">
        <v>1</v>
      </c>
      <c r="K3" s="330"/>
      <c r="L3" s="328" t="s">
        <v>147</v>
      </c>
      <c r="M3" s="331">
        <v>1</v>
      </c>
      <c r="N3" s="330"/>
      <c r="O3" s="328" t="s">
        <v>1096</v>
      </c>
      <c r="P3" s="329">
        <v>1</v>
      </c>
      <c r="Q3" s="323"/>
      <c r="R3" s="332" t="s">
        <v>1097</v>
      </c>
      <c r="S3" s="333">
        <v>1</v>
      </c>
      <c r="T3" s="323"/>
      <c r="U3" s="328" t="s">
        <v>148</v>
      </c>
      <c r="V3" s="329">
        <v>1</v>
      </c>
      <c r="W3" s="323"/>
      <c r="X3" s="328" t="s">
        <v>1098</v>
      </c>
      <c r="Y3" s="334">
        <v>3.2999999999999996E-5</v>
      </c>
      <c r="Z3" s="323"/>
      <c r="AA3" s="335" t="s">
        <v>1099</v>
      </c>
      <c r="AB3" s="336" t="s">
        <v>1100</v>
      </c>
      <c r="AC3" s="337">
        <v>47</v>
      </c>
      <c r="AD3" s="323"/>
      <c r="AE3" s="332" t="s">
        <v>1101</v>
      </c>
      <c r="AF3" s="338">
        <v>4</v>
      </c>
      <c r="AG3" s="323"/>
      <c r="AH3" s="328" t="s">
        <v>1102</v>
      </c>
      <c r="AI3" s="329">
        <v>0.35</v>
      </c>
      <c r="AJ3" s="323"/>
      <c r="AK3" s="335" t="s">
        <v>1103</v>
      </c>
      <c r="AL3" s="336" t="s">
        <v>1104</v>
      </c>
      <c r="AM3" s="337">
        <v>6.7</v>
      </c>
    </row>
    <row r="4" spans="1:39" ht="15" customHeight="1" thickBot="1" x14ac:dyDescent="0.35">
      <c r="A4" s="323"/>
      <c r="B4" s="339" t="s">
        <v>1105</v>
      </c>
      <c r="C4" s="340" t="s">
        <v>1095</v>
      </c>
      <c r="D4" s="341">
        <v>10</v>
      </c>
      <c r="E4" s="323"/>
      <c r="F4" s="342" t="s">
        <v>155</v>
      </c>
      <c r="G4" s="343">
        <v>0.99</v>
      </c>
      <c r="H4" s="330"/>
      <c r="I4" s="342" t="s">
        <v>1106</v>
      </c>
      <c r="J4" s="343">
        <v>1</v>
      </c>
      <c r="K4" s="330"/>
      <c r="L4" s="342" t="s">
        <v>187</v>
      </c>
      <c r="M4" s="344">
        <v>0.995</v>
      </c>
      <c r="N4" s="330"/>
      <c r="O4" s="345" t="s">
        <v>1107</v>
      </c>
      <c r="P4" s="346">
        <v>1.05</v>
      </c>
      <c r="Q4" s="323"/>
      <c r="R4" s="323"/>
      <c r="S4" s="323"/>
      <c r="T4" s="323"/>
      <c r="U4" s="345" t="s">
        <v>590</v>
      </c>
      <c r="V4" s="346">
        <v>0.94</v>
      </c>
      <c r="W4" s="323"/>
      <c r="X4" s="342" t="s">
        <v>1108</v>
      </c>
      <c r="Y4" s="344">
        <v>-1.4E-3</v>
      </c>
      <c r="Z4" s="323"/>
      <c r="AA4" s="335" t="s">
        <v>1099</v>
      </c>
      <c r="AB4" s="336" t="s">
        <v>1109</v>
      </c>
      <c r="AC4" s="347">
        <f>AC5</f>
        <v>52</v>
      </c>
      <c r="AD4" s="323"/>
      <c r="AE4" s="417" t="s">
        <v>1110</v>
      </c>
      <c r="AF4" s="417"/>
      <c r="AG4" s="323"/>
      <c r="AH4" s="342" t="s">
        <v>1111</v>
      </c>
      <c r="AI4" s="343">
        <v>0.3</v>
      </c>
      <c r="AJ4" s="323"/>
      <c r="AK4" s="335" t="s">
        <v>1112</v>
      </c>
      <c r="AL4" s="336" t="s">
        <v>1113</v>
      </c>
      <c r="AM4" s="348">
        <v>30</v>
      </c>
    </row>
    <row r="5" spans="1:39" ht="15" thickBot="1" x14ac:dyDescent="0.35">
      <c r="A5" s="323"/>
      <c r="B5" s="420" t="s">
        <v>1114</v>
      </c>
      <c r="C5" s="422" t="s">
        <v>1113</v>
      </c>
      <c r="D5" s="424">
        <v>15</v>
      </c>
      <c r="E5" s="323"/>
      <c r="F5" s="342" t="s">
        <v>263</v>
      </c>
      <c r="G5" s="343">
        <v>0.995</v>
      </c>
      <c r="H5" s="330"/>
      <c r="I5" s="349" t="s">
        <v>309</v>
      </c>
      <c r="J5" s="350">
        <v>1</v>
      </c>
      <c r="K5" s="330"/>
      <c r="L5" s="342" t="s">
        <v>177</v>
      </c>
      <c r="M5" s="344">
        <v>0.99</v>
      </c>
      <c r="N5" s="330"/>
      <c r="Q5" s="323"/>
      <c r="R5" s="323"/>
      <c r="S5" s="323"/>
      <c r="T5" s="323"/>
      <c r="U5" s="323"/>
      <c r="V5" s="323"/>
      <c r="W5" s="323"/>
      <c r="X5" s="342" t="s">
        <v>2</v>
      </c>
      <c r="Y5" s="344">
        <v>1.95E-2</v>
      </c>
      <c r="Z5" s="323"/>
      <c r="AA5" s="335" t="s">
        <v>1115</v>
      </c>
      <c r="AB5" s="336" t="s">
        <v>1100</v>
      </c>
      <c r="AC5" s="337">
        <v>52</v>
      </c>
      <c r="AD5" s="323"/>
      <c r="AE5" s="418"/>
      <c r="AF5" s="418"/>
      <c r="AG5" s="323"/>
      <c r="AH5" s="342" t="s">
        <v>1116</v>
      </c>
      <c r="AI5" s="343">
        <v>0.28000000000000003</v>
      </c>
      <c r="AJ5" s="323"/>
      <c r="AK5" s="335" t="s">
        <v>1117</v>
      </c>
      <c r="AL5" s="336" t="s">
        <v>1104</v>
      </c>
      <c r="AM5" s="337">
        <v>12.2</v>
      </c>
    </row>
    <row r="6" spans="1:39" ht="15" thickBot="1" x14ac:dyDescent="0.35">
      <c r="A6" s="323"/>
      <c r="B6" s="421"/>
      <c r="C6" s="423"/>
      <c r="D6" s="425"/>
      <c r="E6" s="323"/>
      <c r="F6" s="345" t="s">
        <v>603</v>
      </c>
      <c r="G6" s="346">
        <v>0.98</v>
      </c>
      <c r="H6" s="330"/>
      <c r="I6" s="351"/>
      <c r="J6" s="351"/>
      <c r="K6" s="330"/>
      <c r="L6" s="342" t="s">
        <v>1118</v>
      </c>
      <c r="M6" s="344">
        <v>0.97499999999999998</v>
      </c>
      <c r="N6" s="330"/>
      <c r="Q6" s="323"/>
      <c r="R6" s="323"/>
      <c r="S6" s="323"/>
      <c r="T6" s="323"/>
      <c r="U6" s="323"/>
      <c r="V6" s="323"/>
      <c r="W6" s="323"/>
      <c r="X6" s="345" t="s">
        <v>1119</v>
      </c>
      <c r="Y6" s="352">
        <v>0.21050000000000002</v>
      </c>
      <c r="Z6" s="323"/>
      <c r="AA6" s="335" t="s">
        <v>1115</v>
      </c>
      <c r="AB6" s="336" t="s">
        <v>1109</v>
      </c>
      <c r="AC6" s="347">
        <f>AC7</f>
        <v>75</v>
      </c>
      <c r="AD6" s="323"/>
      <c r="AE6" s="418"/>
      <c r="AF6" s="418"/>
      <c r="AG6" s="323"/>
      <c r="AH6" s="342" t="s">
        <v>1120</v>
      </c>
      <c r="AI6" s="343">
        <v>7.0000000000000007E-2</v>
      </c>
      <c r="AJ6" s="323"/>
      <c r="AK6" s="353" t="s">
        <v>1121</v>
      </c>
      <c r="AL6" s="354" t="s">
        <v>1113</v>
      </c>
      <c r="AM6" s="355">
        <v>10</v>
      </c>
    </row>
    <row r="7" spans="1:39" ht="15" thickBot="1" x14ac:dyDescent="0.35">
      <c r="A7" s="323"/>
      <c r="B7" s="330"/>
      <c r="C7" s="330"/>
      <c r="D7" s="330"/>
      <c r="E7" s="323"/>
      <c r="F7" s="330"/>
      <c r="G7" s="330"/>
      <c r="H7" s="330"/>
      <c r="I7" s="330" t="s">
        <v>1216</v>
      </c>
      <c r="J7" s="330"/>
      <c r="K7" s="330"/>
      <c r="L7" s="345" t="s">
        <v>724</v>
      </c>
      <c r="M7" s="352">
        <v>0.96250000000000002</v>
      </c>
      <c r="N7" s="330"/>
      <c r="Q7" s="323"/>
      <c r="R7" s="323"/>
      <c r="S7" s="323"/>
      <c r="T7" s="323"/>
      <c r="U7" s="323"/>
      <c r="V7" s="323"/>
      <c r="W7" s="323"/>
      <c r="X7" s="345" t="s">
        <v>1122</v>
      </c>
      <c r="Y7" s="356">
        <v>12</v>
      </c>
      <c r="Z7" s="323"/>
      <c r="AA7" s="353" t="s">
        <v>1123</v>
      </c>
      <c r="AB7" s="354" t="s">
        <v>1100</v>
      </c>
      <c r="AC7" s="356">
        <v>75</v>
      </c>
      <c r="AD7" s="323"/>
      <c r="AE7" s="323"/>
      <c r="AF7" s="323"/>
      <c r="AG7" s="323"/>
      <c r="AH7" s="345" t="s">
        <v>1099</v>
      </c>
      <c r="AI7" s="346">
        <v>0.25</v>
      </c>
      <c r="AJ7" s="323"/>
    </row>
    <row r="8" spans="1:39" ht="15" thickBot="1" x14ac:dyDescent="0.35">
      <c r="A8" s="323"/>
      <c r="B8" s="323"/>
      <c r="C8" s="323"/>
      <c r="D8" s="323"/>
      <c r="E8" s="323"/>
      <c r="F8" s="323"/>
      <c r="G8" s="323"/>
      <c r="H8" s="323"/>
      <c r="I8" s="330" t="s">
        <v>1106</v>
      </c>
      <c r="J8" s="330">
        <v>1.01</v>
      </c>
      <c r="K8" s="323"/>
      <c r="L8" s="323"/>
      <c r="M8" s="323"/>
      <c r="N8" s="323"/>
      <c r="O8" s="323"/>
      <c r="P8" s="323"/>
      <c r="Q8" s="323"/>
      <c r="R8" s="323"/>
      <c r="S8" s="323"/>
      <c r="T8" s="323"/>
      <c r="U8" s="323"/>
      <c r="V8" s="323"/>
      <c r="W8" s="323"/>
      <c r="X8" s="345" t="s">
        <v>1124</v>
      </c>
      <c r="Y8" s="346">
        <v>0.3</v>
      </c>
      <c r="Z8" s="323"/>
      <c r="AD8" s="323"/>
      <c r="AE8" s="323"/>
      <c r="AF8" s="323"/>
      <c r="AG8" s="323"/>
      <c r="AH8" s="323"/>
      <c r="AI8" s="323"/>
      <c r="AJ8" s="323"/>
    </row>
    <row r="9" spans="1:39" x14ac:dyDescent="0.3">
      <c r="A9" s="323"/>
      <c r="B9" s="323"/>
      <c r="C9" s="323"/>
      <c r="D9" s="323"/>
      <c r="E9" s="323"/>
      <c r="F9" s="323"/>
      <c r="G9" s="323"/>
      <c r="H9" s="323"/>
      <c r="I9" s="330" t="s">
        <v>309</v>
      </c>
      <c r="J9" s="330">
        <v>1.0149999999999999</v>
      </c>
      <c r="K9" s="323"/>
      <c r="L9" s="323"/>
      <c r="M9" s="323"/>
      <c r="N9" s="323"/>
      <c r="O9" s="323"/>
      <c r="P9" s="323"/>
      <c r="Q9" s="323"/>
      <c r="R9" s="323"/>
      <c r="S9" s="323"/>
      <c r="T9" s="323"/>
      <c r="U9" s="323"/>
      <c r="V9" s="323"/>
      <c r="W9" s="323"/>
      <c r="X9" s="323"/>
      <c r="Y9" s="323"/>
      <c r="Z9" s="323"/>
      <c r="AD9" s="323"/>
      <c r="AE9" s="323"/>
      <c r="AF9" s="323"/>
      <c r="AG9" s="323"/>
      <c r="AH9" s="323"/>
      <c r="AI9" s="323"/>
      <c r="AJ9" s="323"/>
    </row>
    <row r="22" spans="2:7" x14ac:dyDescent="0.3">
      <c r="B22" s="357"/>
    </row>
    <row r="23" spans="2:7" x14ac:dyDescent="0.3">
      <c r="B23" s="357"/>
    </row>
    <row r="26" spans="2:7" x14ac:dyDescent="0.3">
      <c r="D26" s="357"/>
      <c r="F26" s="358"/>
      <c r="G26" s="358"/>
    </row>
    <row r="27" spans="2:7" x14ac:dyDescent="0.3">
      <c r="F27" s="359"/>
    </row>
    <row r="28" spans="2:7" x14ac:dyDescent="0.3">
      <c r="F28" s="359"/>
    </row>
    <row r="29" spans="2:7" x14ac:dyDescent="0.3">
      <c r="F29" s="359"/>
    </row>
    <row r="30" spans="2:7" x14ac:dyDescent="0.3">
      <c r="F30" s="359"/>
    </row>
    <row r="31" spans="2:7" x14ac:dyDescent="0.3">
      <c r="F31" s="360"/>
    </row>
    <row r="32" spans="2:7" x14ac:dyDescent="0.3">
      <c r="B32" s="357"/>
      <c r="C32" s="359"/>
      <c r="D32" s="359"/>
      <c r="F32" s="359"/>
      <c r="G32" s="359"/>
    </row>
    <row r="33" spans="2:2" x14ac:dyDescent="0.3">
      <c r="B33" s="357"/>
    </row>
    <row r="34" spans="2:2" x14ac:dyDescent="0.3">
      <c r="B34" s="357"/>
    </row>
    <row r="35" spans="2:2" x14ac:dyDescent="0.3">
      <c r="B35" s="357"/>
    </row>
  </sheetData>
  <sheetProtection algorithmName="SHA-512" hashValue="c9QLODxaB2zf3M0eVvkKltu6t+p+QNcEj30iIEzD/Nr6c7H+9hX3pdLYWApulsXAvgcljCo0hB61Xug7k8EpFw==" saltValue="OISG1ycX4cqNjlSx4Zx6qA==" spinCount="100000" sheet="1" objects="1" scenarios="1"/>
  <mergeCells count="16">
    <mergeCell ref="AE2:AF2"/>
    <mergeCell ref="AE4:AF6"/>
    <mergeCell ref="AK2:AM2"/>
    <mergeCell ref="AA2:AC2"/>
    <mergeCell ref="B2:D2"/>
    <mergeCell ref="B5:B6"/>
    <mergeCell ref="C5:C6"/>
    <mergeCell ref="D5:D6"/>
    <mergeCell ref="X2:Y2"/>
    <mergeCell ref="F2:G2"/>
    <mergeCell ref="I2:J2"/>
    <mergeCell ref="L2:M2"/>
    <mergeCell ref="R2:S2"/>
    <mergeCell ref="U2:V2"/>
    <mergeCell ref="O2:P2"/>
    <mergeCell ref="AH2:A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97</vt:i4>
      </vt:variant>
    </vt:vector>
  </HeadingPairs>
  <TitlesOfParts>
    <vt:vector size="99" baseType="lpstr">
      <vt:lpstr>OMR</vt:lpstr>
      <vt:lpstr>Look Ups</vt:lpstr>
      <vt:lpstr>_LG1</vt:lpstr>
      <vt:lpstr>_LG2</vt:lpstr>
      <vt:lpstr>_ML1</vt:lpstr>
      <vt:lpstr>_ML2</vt:lpstr>
      <vt:lpstr>_SL1</vt:lpstr>
      <vt:lpstr>_SL2</vt:lpstr>
      <vt:lpstr>AD</vt:lpstr>
      <vt:lpstr>AG</vt:lpstr>
      <vt:lpstr>AM</vt:lpstr>
      <vt:lpstr>AOC</vt:lpstr>
      <vt:lpstr>AS</vt:lpstr>
      <vt:lpstr>BATT</vt:lpstr>
      <vt:lpstr>CWA</vt:lpstr>
      <vt:lpstr>DLF</vt:lpstr>
      <vt:lpstr>E</vt:lpstr>
      <vt:lpstr>EFD</vt:lpstr>
      <vt:lpstr>EFG</vt:lpstr>
      <vt:lpstr>EFM</vt:lpstr>
      <vt:lpstr>EFS</vt:lpstr>
      <vt:lpstr>ELSC</vt:lpstr>
      <vt:lpstr>ER</vt:lpstr>
      <vt:lpstr>EUSC</vt:lpstr>
      <vt:lpstr>FD</vt:lpstr>
      <vt:lpstr>FG</vt:lpstr>
      <vt:lpstr>FLSCR</vt:lpstr>
      <vt:lpstr>FLSPI</vt:lpstr>
      <vt:lpstr>FOC</vt:lpstr>
      <vt:lpstr>FRD</vt:lpstr>
      <vt:lpstr>FRG</vt:lpstr>
      <vt:lpstr>FRS</vt:lpstr>
      <vt:lpstr>FS</vt:lpstr>
      <vt:lpstr>HB</vt:lpstr>
      <vt:lpstr>HG</vt:lpstr>
      <vt:lpstr>LCHD</vt:lpstr>
      <vt:lpstr>LF</vt:lpstr>
      <vt:lpstr>LL</vt:lpstr>
      <vt:lpstr>LLD</vt:lpstr>
      <vt:lpstr>LLRD</vt:lpstr>
      <vt:lpstr>LLRG</vt:lpstr>
      <vt:lpstr>LLRS</vt:lpstr>
      <vt:lpstr>LLS</vt:lpstr>
      <vt:lpstr>LOA</vt:lpstr>
      <vt:lpstr>LOAA</vt:lpstr>
      <vt:lpstr>LPD</vt:lpstr>
      <vt:lpstr>LPG</vt:lpstr>
      <vt:lpstr>LPM</vt:lpstr>
      <vt:lpstr>LPS</vt:lpstr>
      <vt:lpstr>LRD</vt:lpstr>
      <vt:lpstr>LRG</vt:lpstr>
      <vt:lpstr>LRS</vt:lpstr>
      <vt:lpstr>LS</vt:lpstr>
      <vt:lpstr>MAM</vt:lpstr>
      <vt:lpstr>MC</vt:lpstr>
      <vt:lpstr>MSASC</vt:lpstr>
      <vt:lpstr>MSASP</vt:lpstr>
      <vt:lpstr>MSAUSC</vt:lpstr>
      <vt:lpstr>NC</vt:lpstr>
      <vt:lpstr>P</vt:lpstr>
      <vt:lpstr>PR</vt:lpstr>
      <vt:lpstr>PSCR</vt:lpstr>
      <vt:lpstr>PUSCR</vt:lpstr>
      <vt:lpstr>RAMG</vt:lpstr>
      <vt:lpstr>RASCO</vt:lpstr>
      <vt:lpstr>RASCR</vt:lpstr>
      <vt:lpstr>RASPO</vt:lpstr>
      <vt:lpstr>RASPSC</vt:lpstr>
      <vt:lpstr>RAUSC</vt:lpstr>
      <vt:lpstr>RDM</vt:lpstr>
      <vt:lpstr>RL</vt:lpstr>
      <vt:lpstr>RSA</vt:lpstr>
      <vt:lpstr>RSA2M</vt:lpstr>
      <vt:lpstr>RSAD</vt:lpstr>
      <vt:lpstr>RSAG</vt:lpstr>
      <vt:lpstr>RSAM</vt:lpstr>
      <vt:lpstr>RSAMG</vt:lpstr>
      <vt:lpstr>RSAMZ</vt:lpstr>
      <vt:lpstr>RSAST</vt:lpstr>
      <vt:lpstr>RW</vt:lpstr>
      <vt:lpstr>SCRF</vt:lpstr>
      <vt:lpstr>SCRL1</vt:lpstr>
      <vt:lpstr>SCRL2</vt:lpstr>
      <vt:lpstr>SCRMG</vt:lpstr>
      <vt:lpstr>SF</vt:lpstr>
      <vt:lpstr>SMG</vt:lpstr>
      <vt:lpstr>SPC</vt:lpstr>
      <vt:lpstr>TCW</vt:lpstr>
      <vt:lpstr>USCRF</vt:lpstr>
      <vt:lpstr>USCRL1</vt:lpstr>
      <vt:lpstr>USCRL2</vt:lpstr>
      <vt:lpstr>USCRMG</vt:lpstr>
      <vt:lpstr>WCD</vt:lpstr>
      <vt:lpstr>WDATE</vt:lpstr>
      <vt:lpstr>WE</vt:lpstr>
      <vt:lpstr>WM</vt:lpstr>
      <vt:lpstr>WP</vt:lpstr>
      <vt:lpstr>WS</vt:lpstr>
      <vt:lpstr>ZVAL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Alasdair Noble</dc:creator>
  <cp:keywords/>
  <dc:description/>
  <cp:lastModifiedBy>Richard Jenkins</cp:lastModifiedBy>
  <cp:revision/>
  <cp:lastPrinted>2024-01-26T00:48:48Z</cp:lastPrinted>
  <dcterms:created xsi:type="dcterms:W3CDTF">2023-02-13T10:31:39Z</dcterms:created>
  <dcterms:modified xsi:type="dcterms:W3CDTF">2025-04-30T10:20:40Z</dcterms:modified>
  <cp:category/>
  <cp:contentStatus/>
</cp:coreProperties>
</file>